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theme/themeOverride1.xml" ContentType="application/vnd.openxmlformats-officedocument.themeOverrid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odeName="ThisWorkbook"/>
  <mc:AlternateContent xmlns:mc="http://schemas.openxmlformats.org/markup-compatibility/2006">
    <mc:Choice Requires="x15">
      <x15ac:absPath xmlns:x15ac="http://schemas.microsoft.com/office/spreadsheetml/2010/11/ac" url="C:\Users\kristina.kecedzi\Desktop\į svetainę\SVP ir mero\"/>
    </mc:Choice>
  </mc:AlternateContent>
  <xr:revisionPtr revIDLastSave="0" documentId="8_{41EA877A-A441-4D2D-BF32-BCBBC6A13401}" xr6:coauthVersionLast="47" xr6:coauthVersionMax="47" xr10:uidLastSave="{00000000-0000-0000-0000-000000000000}"/>
  <bookViews>
    <workbookView xWindow="-120" yWindow="-120" windowWidth="29040" windowHeight="17640" xr2:uid="{00000000-000D-0000-FFFF-FFFF00000000}"/>
  </bookViews>
  <sheets>
    <sheet name="Planas" sheetId="2" r:id="rId1"/>
  </sheets>
  <externalReferences>
    <externalReference r:id="rId2"/>
  </externalReferences>
  <calcPr calcId="191029"/>
</workbook>
</file>

<file path=xl/calcChain.xml><?xml version="1.0" encoding="utf-8"?>
<calcChain xmlns="http://schemas.openxmlformats.org/spreadsheetml/2006/main">
  <c r="W829" i="2" l="1"/>
  <c r="W704" i="2"/>
  <c r="W646" i="2"/>
  <c r="W460" i="2"/>
  <c r="W398" i="2"/>
  <c r="W364" i="2"/>
  <c r="W316" i="2"/>
  <c r="W180" i="2" l="1"/>
  <c r="W132" i="2"/>
  <c r="W67" i="2"/>
  <c r="W15" i="2"/>
  <c r="I938" i="2" l="1"/>
  <c r="I713" i="2"/>
  <c r="I712" i="2"/>
  <c r="I711" i="2"/>
  <c r="I618" i="2"/>
  <c r="I966" i="2"/>
  <c r="I965" i="2"/>
  <c r="I964" i="2"/>
  <c r="I957" i="2"/>
  <c r="I956" i="2"/>
  <c r="I949" i="2"/>
  <c r="I947" i="2"/>
  <c r="I944" i="2"/>
  <c r="I943" i="2"/>
  <c r="I934" i="2"/>
  <c r="I933" i="2"/>
  <c r="I930" i="2"/>
  <c r="I929" i="2"/>
  <c r="I928" i="2"/>
  <c r="I927" i="2"/>
  <c r="I926" i="2"/>
  <c r="I923" i="2"/>
  <c r="I921" i="2"/>
  <c r="I920" i="2"/>
  <c r="I915" i="2"/>
  <c r="I914" i="2"/>
  <c r="I908" i="2"/>
  <c r="I907" i="2"/>
  <c r="I906" i="2"/>
  <c r="I905" i="2"/>
  <c r="I901" i="2"/>
  <c r="I900" i="2"/>
  <c r="I898" i="2"/>
  <c r="I897" i="2"/>
  <c r="I895" i="2"/>
  <c r="I894" i="2"/>
  <c r="I893" i="2"/>
  <c r="I892" i="2"/>
  <c r="I891" i="2"/>
  <c r="I890" i="2"/>
  <c r="I889" i="2"/>
  <c r="I888" i="2"/>
  <c r="I887" i="2"/>
  <c r="I886" i="2"/>
  <c r="I885" i="2"/>
  <c r="I884" i="2"/>
  <c r="I883" i="2"/>
  <c r="I882" i="2"/>
  <c r="I880" i="2"/>
  <c r="I878" i="2"/>
  <c r="I877" i="2"/>
  <c r="I875" i="2"/>
  <c r="I874" i="2"/>
  <c r="I873" i="2"/>
  <c r="I871" i="2"/>
  <c r="I870" i="2"/>
  <c r="I868" i="2"/>
  <c r="I867" i="2"/>
  <c r="I865" i="2"/>
  <c r="I864" i="2"/>
  <c r="I862" i="2"/>
  <c r="I861" i="2"/>
  <c r="I857" i="2"/>
  <c r="I855" i="2"/>
  <c r="I854" i="2"/>
  <c r="I849" i="2"/>
  <c r="I848" i="2"/>
  <c r="I847" i="2"/>
  <c r="I845" i="2"/>
  <c r="I844" i="2"/>
  <c r="I843" i="2"/>
  <c r="I842" i="2"/>
  <c r="I841" i="2"/>
  <c r="I840" i="2"/>
  <c r="I822" i="2"/>
  <c r="I821" i="2"/>
  <c r="I819" i="2"/>
  <c r="I817" i="2"/>
  <c r="I816" i="2"/>
  <c r="I815" i="2"/>
  <c r="I812" i="2"/>
  <c r="I811" i="2"/>
  <c r="I810" i="2"/>
  <c r="I809" i="2"/>
  <c r="I806" i="2"/>
  <c r="I805" i="2"/>
  <c r="I804" i="2"/>
  <c r="I803" i="2"/>
  <c r="I802" i="2"/>
  <c r="I801" i="2"/>
  <c r="I800" i="2"/>
  <c r="I799" i="2"/>
  <c r="I798" i="2"/>
  <c r="I797" i="2"/>
  <c r="I796" i="2"/>
  <c r="I795" i="2"/>
  <c r="I791" i="2"/>
  <c r="I790" i="2"/>
  <c r="I788" i="2"/>
  <c r="I787" i="2"/>
  <c r="I786" i="2"/>
  <c r="I784" i="2"/>
  <c r="I783" i="2"/>
  <c r="I781" i="2"/>
  <c r="I779" i="2"/>
  <c r="I777" i="2"/>
  <c r="I775" i="2"/>
  <c r="I773" i="2"/>
  <c r="I772" i="2"/>
  <c r="I771" i="2"/>
  <c r="I766" i="2"/>
  <c r="I765" i="2"/>
  <c r="I764" i="2"/>
  <c r="I760" i="2"/>
  <c r="I759" i="2"/>
  <c r="I758" i="2"/>
  <c r="I756" i="2"/>
  <c r="I755" i="2"/>
  <c r="I753" i="2"/>
  <c r="I752" i="2"/>
  <c r="I751" i="2"/>
  <c r="I749" i="2"/>
  <c r="I748" i="2"/>
  <c r="I745" i="2"/>
  <c r="I744" i="2"/>
  <c r="I741" i="2"/>
  <c r="I740" i="2"/>
  <c r="I736" i="2"/>
  <c r="I735" i="2"/>
  <c r="I733" i="2"/>
  <c r="I732" i="2"/>
  <c r="I730" i="2"/>
  <c r="I729" i="2"/>
  <c r="I727" i="2"/>
  <c r="I726" i="2"/>
  <c r="I725" i="2"/>
  <c r="I724" i="2"/>
  <c r="I723" i="2"/>
  <c r="I722" i="2"/>
  <c r="I721" i="2"/>
  <c r="I720" i="2"/>
  <c r="I718" i="2"/>
  <c r="I717" i="2"/>
  <c r="I716" i="2"/>
  <c r="I715" i="2"/>
  <c r="I709" i="2"/>
  <c r="I707" i="2"/>
  <c r="I706" i="2"/>
  <c r="I705" i="2"/>
  <c r="I704" i="2"/>
  <c r="I695" i="2"/>
  <c r="I693" i="2"/>
  <c r="I690" i="2"/>
  <c r="I689" i="2"/>
  <c r="I687" i="2"/>
  <c r="I686" i="2"/>
  <c r="I681" i="2"/>
  <c r="I680" i="2"/>
  <c r="I679" i="2"/>
  <c r="I670" i="2"/>
  <c r="I669" i="2"/>
  <c r="I667" i="2"/>
  <c r="I666" i="2"/>
  <c r="I665" i="2"/>
  <c r="I664" i="2"/>
  <c r="I663" i="2"/>
  <c r="I660" i="2"/>
  <c r="I659" i="2"/>
  <c r="I658" i="2"/>
  <c r="I651" i="2"/>
  <c r="I650" i="2"/>
  <c r="I648" i="2"/>
  <c r="I647" i="2"/>
  <c r="I645" i="2"/>
  <c r="I644" i="2"/>
  <c r="I638" i="2"/>
  <c r="I637" i="2"/>
  <c r="I635" i="2"/>
  <c r="I633" i="2"/>
  <c r="I631" i="2"/>
  <c r="I630" i="2"/>
  <c r="I629" i="2"/>
  <c r="I628" i="2"/>
  <c r="I626" i="2"/>
  <c r="I625" i="2"/>
  <c r="I623" i="2"/>
  <c r="I622" i="2"/>
  <c r="I620" i="2"/>
  <c r="I619" i="2"/>
  <c r="I616" i="2"/>
  <c r="I615" i="2"/>
  <c r="I613" i="2"/>
  <c r="I612" i="2"/>
  <c r="I611" i="2"/>
  <c r="I610" i="2"/>
  <c r="I607" i="2"/>
  <c r="I603" i="2"/>
  <c r="I602" i="2"/>
  <c r="I600" i="2"/>
  <c r="I599" i="2"/>
  <c r="I597" i="2"/>
  <c r="I596" i="2"/>
  <c r="I590" i="2"/>
  <c r="I589" i="2"/>
  <c r="I587" i="2"/>
  <c r="I586" i="2"/>
  <c r="I584" i="2"/>
  <c r="I583" i="2"/>
  <c r="I581" i="2"/>
  <c r="I580" i="2"/>
  <c r="I579" i="2"/>
  <c r="I578" i="2"/>
  <c r="I577" i="2"/>
  <c r="I576" i="2"/>
  <c r="I574" i="2"/>
  <c r="I573" i="2"/>
  <c r="I570" i="2"/>
  <c r="I569" i="2"/>
  <c r="I567" i="2"/>
  <c r="I566" i="2"/>
  <c r="I564" i="2"/>
  <c r="I563" i="2"/>
  <c r="I561" i="2"/>
  <c r="I560" i="2"/>
  <c r="I559" i="2"/>
  <c r="I558" i="2"/>
  <c r="I556" i="2"/>
  <c r="I555" i="2"/>
  <c r="I554" i="2"/>
  <c r="I553" i="2"/>
  <c r="I551" i="2"/>
  <c r="I550" i="2"/>
  <c r="I548" i="2"/>
  <c r="I547" i="2"/>
  <c r="I545" i="2"/>
  <c r="I544" i="2"/>
  <c r="I542" i="2"/>
  <c r="I541" i="2"/>
  <c r="I538" i="2"/>
  <c r="I537" i="2"/>
  <c r="I536" i="2"/>
  <c r="I535" i="2"/>
  <c r="I534" i="2"/>
  <c r="I533" i="2"/>
  <c r="I532" i="2"/>
  <c r="I531" i="2"/>
  <c r="I530" i="2"/>
  <c r="I529" i="2"/>
  <c r="I527" i="2"/>
  <c r="I526" i="2"/>
  <c r="I525" i="2"/>
  <c r="I523" i="2"/>
  <c r="I522" i="2"/>
  <c r="I521" i="2"/>
  <c r="I520" i="2"/>
  <c r="I519" i="2"/>
  <c r="I518" i="2"/>
  <c r="I517" i="2"/>
  <c r="I516" i="2"/>
  <c r="I514" i="2"/>
  <c r="I513" i="2"/>
  <c r="I511" i="2"/>
  <c r="I510" i="2"/>
  <c r="I508" i="2"/>
  <c r="I507" i="2"/>
  <c r="I506" i="2"/>
  <c r="I505" i="2"/>
  <c r="I503" i="2"/>
  <c r="I502" i="2"/>
  <c r="I501" i="2"/>
  <c r="I497" i="2"/>
  <c r="I495" i="2"/>
  <c r="I492" i="2"/>
  <c r="I491" i="2"/>
  <c r="I490" i="2"/>
  <c r="I489" i="2"/>
  <c r="I488" i="2"/>
  <c r="I487" i="2"/>
  <c r="I486" i="2"/>
  <c r="I485" i="2"/>
  <c r="I482" i="2"/>
  <c r="I481" i="2"/>
  <c r="I466" i="2"/>
  <c r="I453" i="2"/>
  <c r="I449" i="2"/>
  <c r="I448" i="2"/>
  <c r="I447" i="2"/>
  <c r="I445" i="2"/>
  <c r="I444" i="2"/>
  <c r="I443" i="2"/>
  <c r="I440" i="2"/>
  <c r="I439" i="2"/>
  <c r="I435" i="2"/>
  <c r="I434" i="2"/>
  <c r="I433" i="2"/>
  <c r="I430" i="2"/>
  <c r="I429" i="2"/>
  <c r="I428" i="2"/>
  <c r="I427" i="2"/>
  <c r="I426" i="2"/>
  <c r="I425" i="2"/>
  <c r="I423" i="2"/>
  <c r="I422" i="2"/>
  <c r="I420" i="2"/>
  <c r="I419" i="2"/>
  <c r="I413" i="2"/>
  <c r="I412" i="2"/>
  <c r="I391" i="2"/>
  <c r="I390" i="2"/>
  <c r="I389" i="2"/>
  <c r="I387" i="2"/>
  <c r="I386" i="2"/>
  <c r="I384" i="2"/>
  <c r="I383" i="2"/>
  <c r="I382" i="2"/>
  <c r="I378" i="2"/>
  <c r="I376" i="2"/>
  <c r="I375" i="2"/>
  <c r="I374" i="2"/>
  <c r="I371" i="2"/>
  <c r="I367" i="2"/>
  <c r="I366" i="2"/>
  <c r="I364" i="2"/>
  <c r="I363" i="2"/>
  <c r="I362" i="2"/>
  <c r="I357" i="2" l="1"/>
  <c r="I347" i="2"/>
  <c r="I343" i="2"/>
  <c r="I342" i="2"/>
  <c r="I340" i="2"/>
  <c r="I339" i="2"/>
  <c r="I337" i="2"/>
  <c r="I336" i="2"/>
  <c r="I334" i="2"/>
  <c r="I332" i="2"/>
  <c r="I326" i="2"/>
  <c r="I325" i="2"/>
  <c r="I322" i="2"/>
  <c r="I316" i="2"/>
  <c r="I309" i="2"/>
  <c r="I308" i="2"/>
  <c r="I300" i="2"/>
  <c r="I299" i="2"/>
  <c r="I296" i="2"/>
  <c r="I295" i="2"/>
  <c r="I294" i="2"/>
  <c r="I293" i="2"/>
  <c r="I292" i="2"/>
  <c r="I290" i="2"/>
  <c r="I288" i="2"/>
  <c r="I287" i="2"/>
  <c r="I286" i="2"/>
  <c r="I283" i="2"/>
  <c r="I282" i="2"/>
  <c r="I279" i="2"/>
  <c r="I278" i="2"/>
  <c r="I277" i="2"/>
  <c r="I276" i="2"/>
  <c r="I275" i="2"/>
  <c r="I274" i="2"/>
  <c r="I272" i="2"/>
  <c r="I267" i="2"/>
  <c r="I266" i="2"/>
  <c r="I265" i="2"/>
  <c r="I263" i="2"/>
  <c r="I262" i="2"/>
  <c r="I257" i="2"/>
  <c r="I255" i="2"/>
  <c r="I254" i="2"/>
  <c r="I252" i="2"/>
  <c r="I251" i="2"/>
  <c r="I250" i="2"/>
  <c r="I249" i="2"/>
  <c r="I247" i="2"/>
  <c r="I246" i="2"/>
  <c r="I245" i="2"/>
  <c r="I243" i="2"/>
  <c r="I242" i="2"/>
  <c r="I239" i="2"/>
  <c r="I238" i="2"/>
  <c r="I237" i="2"/>
  <c r="I235" i="2"/>
  <c r="I234" i="2"/>
  <c r="I232" i="2"/>
  <c r="I231" i="2"/>
  <c r="I228" i="2"/>
  <c r="I227" i="2"/>
  <c r="I224" i="2"/>
  <c r="I223" i="2"/>
  <c r="I222" i="2"/>
  <c r="I220" i="2"/>
  <c r="I217" i="2"/>
  <c r="I216" i="2"/>
  <c r="I207" i="2"/>
  <c r="I203" i="2"/>
  <c r="I202" i="2"/>
  <c r="I201" i="2"/>
  <c r="I197" i="2"/>
  <c r="I196" i="2"/>
  <c r="I195" i="2"/>
  <c r="I189" i="2"/>
  <c r="I181" i="2"/>
  <c r="I180" i="2"/>
  <c r="I173" i="2"/>
  <c r="I167" i="2"/>
  <c r="I165" i="2"/>
  <c r="I164" i="2"/>
  <c r="I159" i="2"/>
  <c r="I158" i="2"/>
  <c r="I157" i="2"/>
  <c r="I155" i="2"/>
  <c r="I154" i="2"/>
  <c r="I153" i="2"/>
  <c r="I148" i="2"/>
  <c r="I147" i="2"/>
  <c r="I142" i="2"/>
  <c r="I141" i="2"/>
  <c r="I139" i="2"/>
  <c r="I138" i="2"/>
  <c r="I134" i="2"/>
  <c r="I133" i="2"/>
  <c r="I131" i="2"/>
  <c r="I130" i="2"/>
  <c r="I125" i="2"/>
  <c r="I124" i="2"/>
  <c r="I122" i="2"/>
  <c r="I121" i="2"/>
  <c r="I111" i="2"/>
  <c r="I109" i="2"/>
  <c r="I108" i="2"/>
  <c r="I107" i="2"/>
  <c r="I105" i="2"/>
  <c r="I103" i="2"/>
  <c r="I101" i="2"/>
  <c r="I100" i="2"/>
  <c r="I96" i="2"/>
  <c r="I95" i="2"/>
  <c r="I94" i="2"/>
  <c r="I93" i="2"/>
  <c r="I92" i="2"/>
  <c r="I91" i="2"/>
  <c r="I90" i="2"/>
  <c r="I87" i="2"/>
  <c r="I86" i="2"/>
  <c r="I68" i="2"/>
  <c r="I67" i="2"/>
  <c r="I66" i="2"/>
  <c r="I60" i="2"/>
  <c r="I59" i="2"/>
  <c r="I57" i="2"/>
  <c r="I56" i="2"/>
  <c r="I50" i="2"/>
  <c r="I51" i="2"/>
  <c r="I53" i="2"/>
  <c r="I45" i="2"/>
  <c r="I46" i="2"/>
  <c r="I47" i="2"/>
  <c r="I32" i="2"/>
  <c r="I33" i="2"/>
  <c r="I34" i="2"/>
  <c r="I13" i="2" l="1"/>
  <c r="I14" i="2"/>
  <c r="I16" i="2"/>
  <c r="I17" i="2"/>
  <c r="I28" i="2"/>
  <c r="D12" i="2"/>
  <c r="E12" i="2"/>
  <c r="F12" i="2"/>
  <c r="I12" i="2" s="1"/>
  <c r="G12" i="2"/>
  <c r="H12" i="2"/>
  <c r="D15" i="2"/>
  <c r="E15" i="2"/>
  <c r="F15" i="2"/>
  <c r="G15" i="2"/>
  <c r="H15" i="2"/>
  <c r="D26" i="2"/>
  <c r="E26" i="2"/>
  <c r="I26" i="2" s="1"/>
  <c r="G26" i="2"/>
  <c r="H26" i="2"/>
  <c r="D31" i="2"/>
  <c r="E31" i="2"/>
  <c r="F31" i="2"/>
  <c r="G31" i="2"/>
  <c r="H31" i="2"/>
  <c r="D38" i="2"/>
  <c r="E38" i="2"/>
  <c r="F38" i="2"/>
  <c r="G38" i="2"/>
  <c r="H38" i="2"/>
  <c r="D44" i="2"/>
  <c r="E44" i="2"/>
  <c r="F44" i="2"/>
  <c r="G44" i="2"/>
  <c r="H44" i="2"/>
  <c r="D49" i="2"/>
  <c r="D48" i="2" s="1"/>
  <c r="E49" i="2"/>
  <c r="E48" i="2" s="1"/>
  <c r="F49" i="2"/>
  <c r="G49" i="2"/>
  <c r="G48" i="2" s="1"/>
  <c r="H49" i="2"/>
  <c r="H48" i="2" s="1"/>
  <c r="D55" i="2"/>
  <c r="E55" i="2"/>
  <c r="E54" i="2" s="1"/>
  <c r="F55" i="2"/>
  <c r="I55" i="2" s="1"/>
  <c r="G55" i="2"/>
  <c r="H55" i="2"/>
  <c r="D58" i="2"/>
  <c r="E58" i="2"/>
  <c r="F58" i="2"/>
  <c r="G58" i="2"/>
  <c r="H58" i="2"/>
  <c r="D72" i="2"/>
  <c r="D69" i="2" s="1"/>
  <c r="D65" i="2" s="1"/>
  <c r="E72" i="2"/>
  <c r="E69" i="2" s="1"/>
  <c r="E65" i="2" s="1"/>
  <c r="F72" i="2"/>
  <c r="G69" i="2"/>
  <c r="G65" i="2" s="1"/>
  <c r="H69" i="2"/>
  <c r="H65" i="2" s="1"/>
  <c r="D89" i="2"/>
  <c r="E89" i="2"/>
  <c r="F89" i="2"/>
  <c r="G89" i="2"/>
  <c r="H89" i="2"/>
  <c r="D99" i="2"/>
  <c r="E99" i="2"/>
  <c r="F99" i="2"/>
  <c r="I99" i="2" s="1"/>
  <c r="G99" i="2"/>
  <c r="H99" i="2"/>
  <c r="D102" i="2"/>
  <c r="E102" i="2"/>
  <c r="F102" i="2"/>
  <c r="G102" i="2"/>
  <c r="H102" i="2"/>
  <c r="D104" i="2"/>
  <c r="E104" i="2"/>
  <c r="F104" i="2"/>
  <c r="I104" i="2" s="1"/>
  <c r="D106" i="2"/>
  <c r="E106" i="2"/>
  <c r="F106" i="2"/>
  <c r="G106" i="2"/>
  <c r="H106" i="2"/>
  <c r="D117" i="2"/>
  <c r="D116" i="2" s="1"/>
  <c r="E117" i="2"/>
  <c r="E116" i="2" s="1"/>
  <c r="F117" i="2"/>
  <c r="G116" i="2"/>
  <c r="G112" i="2" s="1"/>
  <c r="H116" i="2"/>
  <c r="H112" i="2" s="1"/>
  <c r="D123" i="2"/>
  <c r="E123" i="2"/>
  <c r="F123" i="2"/>
  <c r="D132" i="2"/>
  <c r="D129" i="2" s="1"/>
  <c r="E132" i="2"/>
  <c r="E129" i="2" s="1"/>
  <c r="F132" i="2"/>
  <c r="D135" i="2"/>
  <c r="E135" i="2"/>
  <c r="F135" i="2"/>
  <c r="G135" i="2"/>
  <c r="H135" i="2"/>
  <c r="D137" i="2"/>
  <c r="E137" i="2"/>
  <c r="F137" i="2"/>
  <c r="I137" i="2" s="1"/>
  <c r="G137" i="2"/>
  <c r="H137" i="2"/>
  <c r="D140" i="2"/>
  <c r="E140" i="2"/>
  <c r="F140" i="2"/>
  <c r="I140" i="2" s="1"/>
  <c r="G140" i="2"/>
  <c r="H140" i="2"/>
  <c r="D144" i="2"/>
  <c r="E144" i="2"/>
  <c r="F144" i="2"/>
  <c r="G144" i="2"/>
  <c r="G143" i="2" s="1"/>
  <c r="H144" i="2"/>
  <c r="D146" i="2"/>
  <c r="E146" i="2"/>
  <c r="F146" i="2"/>
  <c r="G146" i="2"/>
  <c r="H146" i="2"/>
  <c r="D152" i="2"/>
  <c r="E152" i="2"/>
  <c r="F152" i="2"/>
  <c r="I152" i="2" s="1"/>
  <c r="G152" i="2"/>
  <c r="H152" i="2"/>
  <c r="D156" i="2"/>
  <c r="E156" i="2"/>
  <c r="F156" i="2"/>
  <c r="G156" i="2"/>
  <c r="H156" i="2"/>
  <c r="D160" i="2"/>
  <c r="E160" i="2"/>
  <c r="F160" i="2"/>
  <c r="G160" i="2"/>
  <c r="H160" i="2"/>
  <c r="D168" i="2"/>
  <c r="D166" i="2" s="1"/>
  <c r="E168" i="2"/>
  <c r="E166" i="2" s="1"/>
  <c r="F168" i="2"/>
  <c r="D172" i="2"/>
  <c r="D171" i="2" s="1"/>
  <c r="E172" i="2"/>
  <c r="E171" i="2" s="1"/>
  <c r="F172" i="2"/>
  <c r="D182" i="2"/>
  <c r="E182" i="2"/>
  <c r="F182" i="2"/>
  <c r="D186" i="2"/>
  <c r="E186" i="2"/>
  <c r="F186" i="2"/>
  <c r="D190" i="2"/>
  <c r="E190" i="2"/>
  <c r="F190" i="2"/>
  <c r="I190" i="2" s="1"/>
  <c r="G190" i="2"/>
  <c r="H190" i="2"/>
  <c r="D194" i="2"/>
  <c r="E194" i="2"/>
  <c r="F194" i="2"/>
  <c r="G194" i="2"/>
  <c r="H194" i="2"/>
  <c r="D198" i="2"/>
  <c r="E198" i="2"/>
  <c r="F198" i="2"/>
  <c r="G198" i="2"/>
  <c r="H198" i="2"/>
  <c r="D205" i="2"/>
  <c r="E205" i="2"/>
  <c r="F205" i="2"/>
  <c r="I205" i="2" s="1"/>
  <c r="G205" i="2"/>
  <c r="H205" i="2"/>
  <c r="D208" i="2"/>
  <c r="E208" i="2"/>
  <c r="F208" i="2"/>
  <c r="G208" i="2"/>
  <c r="H208" i="2"/>
  <c r="D210" i="2"/>
  <c r="E210" i="2"/>
  <c r="F210" i="2"/>
  <c r="I210" i="2" s="1"/>
  <c r="G210" i="2"/>
  <c r="H210" i="2"/>
  <c r="D212" i="2"/>
  <c r="E212" i="2"/>
  <c r="F212" i="2"/>
  <c r="I212" i="2" s="1"/>
  <c r="G212" i="2"/>
  <c r="H212" i="2"/>
  <c r="D215" i="2"/>
  <c r="E215" i="2"/>
  <c r="F215" i="2"/>
  <c r="G215" i="2"/>
  <c r="H215" i="2"/>
  <c r="D218" i="2"/>
  <c r="E218" i="2"/>
  <c r="F218" i="2"/>
  <c r="D221" i="2"/>
  <c r="E221" i="2"/>
  <c r="F221" i="2"/>
  <c r="I221" i="2" s="1"/>
  <c r="G221" i="2"/>
  <c r="H221" i="2"/>
  <c r="D226" i="2"/>
  <c r="E226" i="2"/>
  <c r="F226" i="2"/>
  <c r="I226" i="2" s="1"/>
  <c r="G226" i="2"/>
  <c r="H226" i="2"/>
  <c r="D230" i="2"/>
  <c r="E230" i="2"/>
  <c r="F230" i="2"/>
  <c r="G230" i="2"/>
  <c r="H230" i="2"/>
  <c r="D233" i="2"/>
  <c r="E233" i="2"/>
  <c r="F233" i="2"/>
  <c r="G233" i="2"/>
  <c r="H233" i="2"/>
  <c r="D236" i="2"/>
  <c r="E236" i="2"/>
  <c r="F236" i="2"/>
  <c r="I236" i="2" s="1"/>
  <c r="G236" i="2"/>
  <c r="H236" i="2"/>
  <c r="D241" i="2"/>
  <c r="E241" i="2"/>
  <c r="F241" i="2"/>
  <c r="G241" i="2"/>
  <c r="H241" i="2"/>
  <c r="D244" i="2"/>
  <c r="E244" i="2"/>
  <c r="F244" i="2"/>
  <c r="I244" i="2" s="1"/>
  <c r="G244" i="2"/>
  <c r="H244" i="2"/>
  <c r="D248" i="2"/>
  <c r="E248" i="2"/>
  <c r="I248" i="2" s="1"/>
  <c r="G248" i="2"/>
  <c r="H248" i="2"/>
  <c r="D253" i="2"/>
  <c r="E253" i="2"/>
  <c r="F253" i="2"/>
  <c r="G253" i="2"/>
  <c r="H253" i="2"/>
  <c r="D256" i="2"/>
  <c r="E256" i="2"/>
  <c r="F256" i="2"/>
  <c r="I256" i="2" s="1"/>
  <c r="D258" i="2"/>
  <c r="E258" i="2"/>
  <c r="F258" i="2"/>
  <c r="I258" i="2" s="1"/>
  <c r="G258" i="2"/>
  <c r="H258" i="2"/>
  <c r="D261" i="2"/>
  <c r="E261" i="2"/>
  <c r="F261" i="2"/>
  <c r="G261" i="2"/>
  <c r="H261" i="2"/>
  <c r="D264" i="2"/>
  <c r="E264" i="2"/>
  <c r="F264" i="2"/>
  <c r="G264" i="2"/>
  <c r="H264" i="2"/>
  <c r="D273" i="2"/>
  <c r="D270" i="2" s="1"/>
  <c r="E273" i="2"/>
  <c r="E270" i="2" s="1"/>
  <c r="F273" i="2"/>
  <c r="G273" i="2"/>
  <c r="G270" i="2" s="1"/>
  <c r="H273" i="2"/>
  <c r="H270" i="2" s="1"/>
  <c r="D281" i="2"/>
  <c r="E281" i="2"/>
  <c r="F281" i="2"/>
  <c r="G281" i="2"/>
  <c r="H281" i="2"/>
  <c r="D285" i="2"/>
  <c r="D284" i="2" s="1"/>
  <c r="E285" i="2"/>
  <c r="E284" i="2" s="1"/>
  <c r="F285" i="2"/>
  <c r="G285" i="2"/>
  <c r="G284" i="2" s="1"/>
  <c r="H285" i="2"/>
  <c r="H284" i="2" s="1"/>
  <c r="D291" i="2"/>
  <c r="D289" i="2" s="1"/>
  <c r="E291" i="2"/>
  <c r="E289" i="2" s="1"/>
  <c r="F291" i="2"/>
  <c r="I291" i="2" s="1"/>
  <c r="G291" i="2"/>
  <c r="G289" i="2" s="1"/>
  <c r="H291" i="2"/>
  <c r="H289" i="2" s="1"/>
  <c r="D298" i="2"/>
  <c r="E298" i="2"/>
  <c r="F298" i="2"/>
  <c r="G298" i="2"/>
  <c r="H298" i="2"/>
  <c r="H297" i="2" s="1"/>
  <c r="D307" i="2"/>
  <c r="E307" i="2"/>
  <c r="I307" i="2" s="1"/>
  <c r="G307" i="2"/>
  <c r="H307" i="2"/>
  <c r="D317" i="2"/>
  <c r="E317" i="2"/>
  <c r="F317" i="2"/>
  <c r="D320" i="2"/>
  <c r="E320" i="2"/>
  <c r="F320" i="2"/>
  <c r="G320" i="2"/>
  <c r="G315" i="2" s="1"/>
  <c r="H320" i="2"/>
  <c r="D324" i="2"/>
  <c r="E324" i="2"/>
  <c r="F324" i="2"/>
  <c r="G324" i="2"/>
  <c r="H324" i="2"/>
  <c r="D333" i="2"/>
  <c r="E333" i="2"/>
  <c r="F333" i="2"/>
  <c r="D335" i="2"/>
  <c r="E335" i="2"/>
  <c r="F335" i="2"/>
  <c r="I335" i="2" s="1"/>
  <c r="G335" i="2"/>
  <c r="H335" i="2"/>
  <c r="D338" i="2"/>
  <c r="E338" i="2"/>
  <c r="F338" i="2"/>
  <c r="G338" i="2"/>
  <c r="H338" i="2"/>
  <c r="D341" i="2"/>
  <c r="E341" i="2"/>
  <c r="F341" i="2"/>
  <c r="G341" i="2"/>
  <c r="H341" i="2"/>
  <c r="D345" i="2"/>
  <c r="E345" i="2"/>
  <c r="F345" i="2"/>
  <c r="G345" i="2"/>
  <c r="H345" i="2"/>
  <c r="D348" i="2"/>
  <c r="E348" i="2"/>
  <c r="F348" i="2"/>
  <c r="G348" i="2"/>
  <c r="H348" i="2"/>
  <c r="D361" i="2"/>
  <c r="E361" i="2"/>
  <c r="F361" i="2"/>
  <c r="G361" i="2"/>
  <c r="H361" i="2"/>
  <c r="D365" i="2"/>
  <c r="E365" i="2"/>
  <c r="F365" i="2"/>
  <c r="I365" i="2" s="1"/>
  <c r="G365" i="2"/>
  <c r="G360" i="2" s="1"/>
  <c r="H365" i="2"/>
  <c r="D369" i="2"/>
  <c r="E369" i="2"/>
  <c r="F369" i="2"/>
  <c r="G369" i="2"/>
  <c r="H369" i="2"/>
  <c r="D373" i="2"/>
  <c r="E373" i="2"/>
  <c r="F373" i="2"/>
  <c r="G373" i="2"/>
  <c r="H373" i="2"/>
  <c r="D381" i="2"/>
  <c r="E381" i="2"/>
  <c r="F381" i="2"/>
  <c r="G381" i="2"/>
  <c r="H381" i="2"/>
  <c r="D385" i="2"/>
  <c r="E385" i="2"/>
  <c r="F385" i="2"/>
  <c r="G385" i="2"/>
  <c r="H385" i="2"/>
  <c r="D388" i="2"/>
  <c r="E388" i="2"/>
  <c r="F388" i="2"/>
  <c r="G388" i="2"/>
  <c r="H388" i="2"/>
  <c r="D396" i="2"/>
  <c r="E396" i="2"/>
  <c r="F396" i="2"/>
  <c r="I396" i="2" s="1"/>
  <c r="D404" i="2"/>
  <c r="E404" i="2"/>
  <c r="F404" i="2"/>
  <c r="D409" i="2"/>
  <c r="E409" i="2"/>
  <c r="F409" i="2"/>
  <c r="D411" i="2"/>
  <c r="E411" i="2"/>
  <c r="F411" i="2"/>
  <c r="D418" i="2"/>
  <c r="E418" i="2"/>
  <c r="F418" i="2"/>
  <c r="D421" i="2"/>
  <c r="E421" i="2"/>
  <c r="F421" i="2"/>
  <c r="G421" i="2"/>
  <c r="H421" i="2"/>
  <c r="D424" i="2"/>
  <c r="E424" i="2"/>
  <c r="F424" i="2"/>
  <c r="G424" i="2"/>
  <c r="H424" i="2"/>
  <c r="D432" i="2"/>
  <c r="E432" i="2"/>
  <c r="F432" i="2"/>
  <c r="G432" i="2"/>
  <c r="H432" i="2"/>
  <c r="D438" i="2"/>
  <c r="E438" i="2"/>
  <c r="F438" i="2"/>
  <c r="I438" i="2" s="1"/>
  <c r="G438" i="2"/>
  <c r="H438" i="2"/>
  <c r="D442" i="2"/>
  <c r="E442" i="2"/>
  <c r="F442" i="2"/>
  <c r="G442" i="2"/>
  <c r="H442" i="2"/>
  <c r="D446" i="2"/>
  <c r="E446" i="2"/>
  <c r="F446" i="2"/>
  <c r="G446" i="2"/>
  <c r="H446" i="2"/>
  <c r="D451" i="2"/>
  <c r="D450" i="2" s="1"/>
  <c r="E451" i="2"/>
  <c r="E450" i="2" s="1"/>
  <c r="F451" i="2"/>
  <c r="G450" i="2"/>
  <c r="H450" i="2"/>
  <c r="D458" i="2"/>
  <c r="E458" i="2"/>
  <c r="F458" i="2"/>
  <c r="G458" i="2"/>
  <c r="H458" i="2"/>
  <c r="D467" i="2"/>
  <c r="E467" i="2"/>
  <c r="F467" i="2"/>
  <c r="G467" i="2"/>
  <c r="H467" i="2"/>
  <c r="D471" i="2"/>
  <c r="E471" i="2"/>
  <c r="F471" i="2"/>
  <c r="I471" i="2" s="1"/>
  <c r="G471" i="2"/>
  <c r="H471" i="2"/>
  <c r="D484" i="2"/>
  <c r="E484" i="2"/>
  <c r="F484" i="2"/>
  <c r="G484" i="2"/>
  <c r="H484" i="2"/>
  <c r="D493" i="2"/>
  <c r="E493" i="2"/>
  <c r="F493" i="2"/>
  <c r="D500" i="2"/>
  <c r="E500" i="2"/>
  <c r="F500" i="2"/>
  <c r="D504" i="2"/>
  <c r="E504" i="2"/>
  <c r="F504" i="2"/>
  <c r="D509" i="2"/>
  <c r="E509" i="2"/>
  <c r="F509" i="2"/>
  <c r="D512" i="2"/>
  <c r="E512" i="2"/>
  <c r="F512" i="2"/>
  <c r="D515" i="2"/>
  <c r="E515" i="2"/>
  <c r="F515" i="2"/>
  <c r="G515" i="2"/>
  <c r="H515" i="2"/>
  <c r="D524" i="2"/>
  <c r="E524" i="2"/>
  <c r="F524" i="2"/>
  <c r="I524" i="2" s="1"/>
  <c r="G524" i="2"/>
  <c r="H524" i="2"/>
  <c r="D528" i="2"/>
  <c r="E528" i="2"/>
  <c r="F528" i="2"/>
  <c r="G528" i="2"/>
  <c r="H528" i="2"/>
  <c r="D540" i="2"/>
  <c r="E540" i="2"/>
  <c r="F540" i="2"/>
  <c r="D543" i="2"/>
  <c r="E543" i="2"/>
  <c r="F543" i="2"/>
  <c r="D546" i="2"/>
  <c r="E546" i="2"/>
  <c r="F546" i="2"/>
  <c r="G546" i="2"/>
  <c r="H546" i="2"/>
  <c r="D549" i="2"/>
  <c r="E549" i="2"/>
  <c r="F549" i="2"/>
  <c r="G549" i="2"/>
  <c r="G539" i="2" s="1"/>
  <c r="H549" i="2"/>
  <c r="D552" i="2"/>
  <c r="E552" i="2"/>
  <c r="F552" i="2"/>
  <c r="D557" i="2"/>
  <c r="E557" i="2"/>
  <c r="F557" i="2"/>
  <c r="G557" i="2"/>
  <c r="H557" i="2"/>
  <c r="D562" i="2"/>
  <c r="E562" i="2"/>
  <c r="F562" i="2"/>
  <c r="G562" i="2"/>
  <c r="H562" i="2"/>
  <c r="D565" i="2"/>
  <c r="E565" i="2"/>
  <c r="F565" i="2"/>
  <c r="G565" i="2"/>
  <c r="H565" i="2"/>
  <c r="D568" i="2"/>
  <c r="E568" i="2"/>
  <c r="F568" i="2"/>
  <c r="G568" i="2"/>
  <c r="H568" i="2"/>
  <c r="D575" i="2"/>
  <c r="E575" i="2"/>
  <c r="F575" i="2"/>
  <c r="G575" i="2"/>
  <c r="H575" i="2"/>
  <c r="D582" i="2"/>
  <c r="E582" i="2"/>
  <c r="F582" i="2"/>
  <c r="G582" i="2"/>
  <c r="H582" i="2"/>
  <c r="D585" i="2"/>
  <c r="E585" i="2"/>
  <c r="F585" i="2"/>
  <c r="G585" i="2"/>
  <c r="H585" i="2"/>
  <c r="D588" i="2"/>
  <c r="E588" i="2"/>
  <c r="F588" i="2"/>
  <c r="G588" i="2"/>
  <c r="H588" i="2"/>
  <c r="D595" i="2"/>
  <c r="E595" i="2"/>
  <c r="F595" i="2"/>
  <c r="G595" i="2"/>
  <c r="H595" i="2"/>
  <c r="D598" i="2"/>
  <c r="E598" i="2"/>
  <c r="F598" i="2"/>
  <c r="G598" i="2"/>
  <c r="H598" i="2"/>
  <c r="D601" i="2"/>
  <c r="E601" i="2"/>
  <c r="F601" i="2"/>
  <c r="G601" i="2"/>
  <c r="H601" i="2"/>
  <c r="D606" i="2"/>
  <c r="D604" i="2" s="1"/>
  <c r="E606" i="2"/>
  <c r="E604" i="2" s="1"/>
  <c r="F606" i="2"/>
  <c r="G606" i="2"/>
  <c r="G604" i="2" s="1"/>
  <c r="H606" i="2"/>
  <c r="H604" i="2" s="1"/>
  <c r="D609" i="2"/>
  <c r="E609" i="2"/>
  <c r="F609" i="2"/>
  <c r="G609" i="2"/>
  <c r="H609" i="2"/>
  <c r="D614" i="2"/>
  <c r="E614" i="2"/>
  <c r="F614" i="2"/>
  <c r="G614" i="2"/>
  <c r="H614" i="2"/>
  <c r="D617" i="2"/>
  <c r="E617" i="2"/>
  <c r="F617" i="2"/>
  <c r="G617" i="2"/>
  <c r="H617" i="2"/>
  <c r="D621" i="2"/>
  <c r="E621" i="2"/>
  <c r="F621" i="2"/>
  <c r="G621" i="2"/>
  <c r="H621" i="2"/>
  <c r="D624" i="2"/>
  <c r="E624" i="2"/>
  <c r="F624" i="2"/>
  <c r="G624" i="2"/>
  <c r="H624" i="2"/>
  <c r="D627" i="2"/>
  <c r="E627" i="2"/>
  <c r="F627" i="2"/>
  <c r="G627" i="2"/>
  <c r="H627" i="2"/>
  <c r="D632" i="2"/>
  <c r="E632" i="2"/>
  <c r="F632" i="2"/>
  <c r="G632" i="2"/>
  <c r="H632" i="2"/>
  <c r="D634" i="2"/>
  <c r="E634" i="2"/>
  <c r="F634" i="2"/>
  <c r="G634" i="2"/>
  <c r="H634" i="2"/>
  <c r="D636" i="2"/>
  <c r="E636" i="2"/>
  <c r="I636" i="2" s="1"/>
  <c r="G636" i="2"/>
  <c r="H636" i="2"/>
  <c r="D643" i="2"/>
  <c r="E643" i="2"/>
  <c r="F643" i="2"/>
  <c r="G643" i="2"/>
  <c r="H643" i="2"/>
  <c r="D646" i="2"/>
  <c r="E646" i="2"/>
  <c r="F646" i="2"/>
  <c r="G646" i="2"/>
  <c r="H646" i="2"/>
  <c r="D649" i="2"/>
  <c r="E649" i="2"/>
  <c r="F649" i="2"/>
  <c r="D652" i="2"/>
  <c r="E652" i="2"/>
  <c r="F652" i="2"/>
  <c r="G652" i="2"/>
  <c r="H652" i="2"/>
  <c r="D655" i="2"/>
  <c r="E655" i="2"/>
  <c r="I655" i="2" s="1"/>
  <c r="G655" i="2"/>
  <c r="H655" i="2"/>
  <c r="D657" i="2"/>
  <c r="E657" i="2"/>
  <c r="F657" i="2"/>
  <c r="G657" i="2"/>
  <c r="H657" i="2"/>
  <c r="D662" i="2"/>
  <c r="E662" i="2"/>
  <c r="F662" i="2"/>
  <c r="G662" i="2"/>
  <c r="H662" i="2"/>
  <c r="D668" i="2"/>
  <c r="E668" i="2"/>
  <c r="F668" i="2"/>
  <c r="D673" i="2"/>
  <c r="E673" i="2"/>
  <c r="F673" i="2"/>
  <c r="D678" i="2"/>
  <c r="E678" i="2"/>
  <c r="F678" i="2"/>
  <c r="G678" i="2"/>
  <c r="H678" i="2"/>
  <c r="D682" i="2"/>
  <c r="E682" i="2"/>
  <c r="F682" i="2"/>
  <c r="G682" i="2"/>
  <c r="H682" i="2"/>
  <c r="D685" i="2"/>
  <c r="E685" i="2"/>
  <c r="F685" i="2"/>
  <c r="G685" i="2"/>
  <c r="H685" i="2"/>
  <c r="D688" i="2"/>
  <c r="E688" i="2"/>
  <c r="F688" i="2"/>
  <c r="G688" i="2"/>
  <c r="H688" i="2"/>
  <c r="D694" i="2"/>
  <c r="E694" i="2"/>
  <c r="F694" i="2"/>
  <c r="G694" i="2"/>
  <c r="H694" i="2"/>
  <c r="D703" i="2"/>
  <c r="E703" i="2"/>
  <c r="F703" i="2"/>
  <c r="G703" i="2"/>
  <c r="H703" i="2"/>
  <c r="D710" i="2"/>
  <c r="E710" i="2"/>
  <c r="F710" i="2"/>
  <c r="G710" i="2"/>
  <c r="H710" i="2"/>
  <c r="D714" i="2"/>
  <c r="E714" i="2"/>
  <c r="F714" i="2"/>
  <c r="G714" i="2"/>
  <c r="H714" i="2"/>
  <c r="D719" i="2"/>
  <c r="E719" i="2"/>
  <c r="F719" i="2"/>
  <c r="G719" i="2"/>
  <c r="H719" i="2"/>
  <c r="D728" i="2"/>
  <c r="E728" i="2"/>
  <c r="F728" i="2"/>
  <c r="G728" i="2"/>
  <c r="H728" i="2"/>
  <c r="D731" i="2"/>
  <c r="E731" i="2"/>
  <c r="F731" i="2"/>
  <c r="G731" i="2"/>
  <c r="H731" i="2"/>
  <c r="D734" i="2"/>
  <c r="E734" i="2"/>
  <c r="F734" i="2"/>
  <c r="G734" i="2"/>
  <c r="H734" i="2"/>
  <c r="D737" i="2"/>
  <c r="E737" i="2"/>
  <c r="F737" i="2"/>
  <c r="G737" i="2"/>
  <c r="H737" i="2"/>
  <c r="D739" i="2"/>
  <c r="E739" i="2"/>
  <c r="F739" i="2"/>
  <c r="D743" i="2"/>
  <c r="E743" i="2"/>
  <c r="F743" i="2"/>
  <c r="G743" i="2"/>
  <c r="H743" i="2"/>
  <c r="D747" i="2"/>
  <c r="E747" i="2"/>
  <c r="F747" i="2"/>
  <c r="D750" i="2"/>
  <c r="E750" i="2"/>
  <c r="F750" i="2"/>
  <c r="G750" i="2"/>
  <c r="H750" i="2"/>
  <c r="D757" i="2"/>
  <c r="E757" i="2"/>
  <c r="F757" i="2"/>
  <c r="G757" i="2"/>
  <c r="G754" i="2" s="1"/>
  <c r="H757" i="2"/>
  <c r="H754" i="2" s="1"/>
  <c r="D763" i="2"/>
  <c r="E763" i="2"/>
  <c r="F763" i="2"/>
  <c r="D770" i="2"/>
  <c r="E770" i="2"/>
  <c r="F770" i="2"/>
  <c r="G770" i="2"/>
  <c r="H770" i="2"/>
  <c r="D774" i="2"/>
  <c r="E774" i="2"/>
  <c r="F774" i="2"/>
  <c r="G774" i="2"/>
  <c r="H774" i="2"/>
  <c r="D776" i="2"/>
  <c r="E776" i="2"/>
  <c r="F776" i="2"/>
  <c r="G776" i="2"/>
  <c r="H776" i="2"/>
  <c r="D778" i="2"/>
  <c r="E778" i="2"/>
  <c r="F778" i="2"/>
  <c r="G778" i="2"/>
  <c r="H778" i="2"/>
  <c r="D780" i="2"/>
  <c r="E780" i="2"/>
  <c r="F780" i="2"/>
  <c r="G780" i="2"/>
  <c r="H780" i="2"/>
  <c r="D782" i="2"/>
  <c r="E782" i="2"/>
  <c r="F782" i="2"/>
  <c r="G782" i="2"/>
  <c r="H782" i="2"/>
  <c r="D785" i="2"/>
  <c r="E785" i="2"/>
  <c r="F785" i="2"/>
  <c r="G785" i="2"/>
  <c r="H785" i="2"/>
  <c r="D792" i="2"/>
  <c r="E792" i="2"/>
  <c r="F792" i="2"/>
  <c r="G792" i="2"/>
  <c r="H792" i="2"/>
  <c r="D807" i="2"/>
  <c r="E807" i="2"/>
  <c r="F807" i="2"/>
  <c r="G807" i="2"/>
  <c r="H807" i="2"/>
  <c r="D814" i="2"/>
  <c r="D813" i="2" s="1"/>
  <c r="E814" i="2"/>
  <c r="E813" i="2" s="1"/>
  <c r="F814" i="2"/>
  <c r="G814" i="2"/>
  <c r="G813" i="2" s="1"/>
  <c r="H814" i="2"/>
  <c r="H813" i="2" s="1"/>
  <c r="D818" i="2"/>
  <c r="E818" i="2"/>
  <c r="F818" i="2"/>
  <c r="G818" i="2"/>
  <c r="H818" i="2"/>
  <c r="D820" i="2"/>
  <c r="E820" i="2"/>
  <c r="F820" i="2"/>
  <c r="D839" i="2"/>
  <c r="E839" i="2"/>
  <c r="F839" i="2"/>
  <c r="G839" i="2"/>
  <c r="H839" i="2"/>
  <c r="D846" i="2"/>
  <c r="E846" i="2"/>
  <c r="F846" i="2"/>
  <c r="D850" i="2"/>
  <c r="E850" i="2"/>
  <c r="F850" i="2"/>
  <c r="G850" i="2"/>
  <c r="H850" i="2"/>
  <c r="D853" i="2"/>
  <c r="E853" i="2"/>
  <c r="F853" i="2"/>
  <c r="G853" i="2"/>
  <c r="H853" i="2"/>
  <c r="D856" i="2"/>
  <c r="E856" i="2"/>
  <c r="F856" i="2"/>
  <c r="G856" i="2"/>
  <c r="H856" i="2"/>
  <c r="D863" i="2"/>
  <c r="D858" i="2" s="1"/>
  <c r="E863" i="2"/>
  <c r="E858" i="2" s="1"/>
  <c r="F863" i="2"/>
  <c r="G863" i="2"/>
  <c r="G858" i="2" s="1"/>
  <c r="H863" i="2"/>
  <c r="H858" i="2" s="1"/>
  <c r="D866" i="2"/>
  <c r="E866" i="2"/>
  <c r="F866" i="2"/>
  <c r="G866" i="2"/>
  <c r="H866" i="2"/>
  <c r="D869" i="2"/>
  <c r="E869" i="2"/>
  <c r="F869" i="2"/>
  <c r="G869" i="2"/>
  <c r="H869" i="2"/>
  <c r="D872" i="2"/>
  <c r="E872" i="2"/>
  <c r="F872" i="2"/>
  <c r="G872" i="2"/>
  <c r="H872" i="2"/>
  <c r="D876" i="2"/>
  <c r="E876" i="2"/>
  <c r="F876" i="2"/>
  <c r="G876" i="2"/>
  <c r="H876" i="2"/>
  <c r="D879" i="2"/>
  <c r="E879" i="2"/>
  <c r="F879" i="2"/>
  <c r="G879" i="2"/>
  <c r="H879" i="2"/>
  <c r="D896" i="2"/>
  <c r="E896" i="2"/>
  <c r="F896" i="2"/>
  <c r="G896" i="2"/>
  <c r="H896" i="2"/>
  <c r="D899" i="2"/>
  <c r="E899" i="2"/>
  <c r="F899" i="2"/>
  <c r="G899" i="2"/>
  <c r="H899" i="2"/>
  <c r="D902" i="2"/>
  <c r="E902" i="2"/>
  <c r="F902" i="2"/>
  <c r="D904" i="2"/>
  <c r="E904" i="2"/>
  <c r="F904" i="2"/>
  <c r="D913" i="2"/>
  <c r="D911" i="2" s="1"/>
  <c r="D909" i="2" s="1"/>
  <c r="E913" i="2"/>
  <c r="E911" i="2" s="1"/>
  <c r="E909" i="2" s="1"/>
  <c r="F913" i="2"/>
  <c r="G911" i="2"/>
  <c r="H911" i="2"/>
  <c r="H909" i="2" s="1"/>
  <c r="D919" i="2"/>
  <c r="E919" i="2"/>
  <c r="F919" i="2"/>
  <c r="G919" i="2"/>
  <c r="H919" i="2"/>
  <c r="D922" i="2"/>
  <c r="E922" i="2"/>
  <c r="F922" i="2"/>
  <c r="G922" i="2"/>
  <c r="H922" i="2"/>
  <c r="D924" i="2"/>
  <c r="E924" i="2"/>
  <c r="F924" i="2"/>
  <c r="G924" i="2"/>
  <c r="H924" i="2"/>
  <c r="D931" i="2"/>
  <c r="E931" i="2"/>
  <c r="F931" i="2"/>
  <c r="G931" i="2"/>
  <c r="H931" i="2"/>
  <c r="D935" i="2"/>
  <c r="E935" i="2"/>
  <c r="F935" i="2"/>
  <c r="D942" i="2"/>
  <c r="E942" i="2"/>
  <c r="F942" i="2"/>
  <c r="D948" i="2"/>
  <c r="D945" i="2" s="1"/>
  <c r="E948" i="2"/>
  <c r="E945" i="2" s="1"/>
  <c r="F948" i="2"/>
  <c r="G948" i="2"/>
  <c r="G945" i="2" s="1"/>
  <c r="H948" i="2"/>
  <c r="H945" i="2" s="1"/>
  <c r="D951" i="2"/>
  <c r="E951" i="2"/>
  <c r="F951" i="2"/>
  <c r="D954" i="2"/>
  <c r="E954" i="2"/>
  <c r="F954" i="2"/>
  <c r="G954" i="2"/>
  <c r="H954" i="2"/>
  <c r="D958" i="2"/>
  <c r="E958" i="2"/>
  <c r="F958" i="2"/>
  <c r="G958" i="2"/>
  <c r="H958" i="2"/>
  <c r="D961" i="2"/>
  <c r="E961" i="2"/>
  <c r="F961" i="2"/>
  <c r="G961" i="2"/>
  <c r="H961" i="2"/>
  <c r="C974" i="2"/>
  <c r="D974" i="2"/>
  <c r="E974" i="2"/>
  <c r="F974" i="2"/>
  <c r="G974" i="2"/>
  <c r="C987" i="2"/>
  <c r="D987" i="2"/>
  <c r="E987" i="2"/>
  <c r="F987" i="2"/>
  <c r="G987" i="2"/>
  <c r="E315" i="2" l="1"/>
  <c r="I839" i="2"/>
  <c r="I807" i="2"/>
  <c r="I776" i="2"/>
  <c r="I757" i="2"/>
  <c r="I728" i="2"/>
  <c r="I688" i="2"/>
  <c r="I673" i="2"/>
  <c r="I632" i="2"/>
  <c r="I609" i="2"/>
  <c r="I585" i="2"/>
  <c r="F991" i="2"/>
  <c r="I557" i="2"/>
  <c r="C991" i="2"/>
  <c r="I919" i="2"/>
  <c r="I872" i="2"/>
  <c r="I818" i="2"/>
  <c r="I780" i="2"/>
  <c r="D754" i="2"/>
  <c r="I747" i="2"/>
  <c r="I734" i="2"/>
  <c r="I703" i="2"/>
  <c r="I662" i="2"/>
  <c r="I634" i="2"/>
  <c r="I614" i="2"/>
  <c r="I588" i="2"/>
  <c r="I562" i="2"/>
  <c r="I528" i="2"/>
  <c r="I484" i="2"/>
  <c r="I442" i="2"/>
  <c r="I338" i="2"/>
  <c r="I320" i="2"/>
  <c r="I31" i="2"/>
  <c r="E498" i="2"/>
  <c r="E684" i="2"/>
  <c r="H918" i="2"/>
  <c r="I902" i="2"/>
  <c r="I869" i="2"/>
  <c r="I820" i="2"/>
  <c r="I782" i="2"/>
  <c r="I710" i="2"/>
  <c r="I678" i="2"/>
  <c r="I668" i="2"/>
  <c r="I264" i="2"/>
  <c r="I253" i="2"/>
  <c r="I233" i="2"/>
  <c r="E229" i="2"/>
  <c r="I218" i="2"/>
  <c r="I198" i="2"/>
  <c r="I146" i="2"/>
  <c r="I106" i="2"/>
  <c r="I38" i="2"/>
  <c r="I954" i="2"/>
  <c r="I942" i="2"/>
  <c r="I922" i="2"/>
  <c r="I458" i="2"/>
  <c r="I424" i="2"/>
  <c r="I348" i="2"/>
  <c r="D35" i="2"/>
  <c r="D30" i="2" s="1"/>
  <c r="I15" i="2"/>
  <c r="F414" i="2"/>
  <c r="I418" i="2"/>
  <c r="F911" i="2"/>
  <c r="I911" i="2" s="1"/>
  <c r="I913" i="2"/>
  <c r="F642" i="2"/>
  <c r="I649" i="2"/>
  <c r="E881" i="2"/>
  <c r="G297" i="2"/>
  <c r="F270" i="2"/>
  <c r="I270" i="2" s="1"/>
  <c r="I273" i="2"/>
  <c r="F171" i="2"/>
  <c r="I171" i="2" s="1"/>
  <c r="I172" i="2"/>
  <c r="E88" i="2"/>
  <c r="G35" i="2"/>
  <c r="G30" i="2" s="1"/>
  <c r="I876" i="2"/>
  <c r="I850" i="2"/>
  <c r="I785" i="2"/>
  <c r="E768" i="2"/>
  <c r="E767" i="2" s="1"/>
  <c r="G768" i="2"/>
  <c r="G767" i="2" s="1"/>
  <c r="I770" i="2"/>
  <c r="I739" i="2"/>
  <c r="I714" i="2"/>
  <c r="I682" i="2"/>
  <c r="I617" i="2"/>
  <c r="I595" i="2"/>
  <c r="I565" i="2"/>
  <c r="I546" i="2"/>
  <c r="I540" i="2"/>
  <c r="I512" i="2"/>
  <c r="I504" i="2"/>
  <c r="I446" i="2"/>
  <c r="I373" i="2"/>
  <c r="I341" i="2"/>
  <c r="I324" i="2"/>
  <c r="I298" i="2"/>
  <c r="I281" i="2"/>
  <c r="I241" i="2"/>
  <c r="D229" i="2"/>
  <c r="I156" i="2"/>
  <c r="I123" i="2"/>
  <c r="I102" i="2"/>
  <c r="F48" i="2"/>
  <c r="I48" i="2" s="1"/>
  <c r="I49" i="2"/>
  <c r="I44" i="2"/>
  <c r="E35" i="2"/>
  <c r="E30" i="2" s="1"/>
  <c r="G991" i="2"/>
  <c r="I958" i="2"/>
  <c r="I924" i="2"/>
  <c r="I904" i="2"/>
  <c r="I879" i="2"/>
  <c r="I853" i="2"/>
  <c r="I774" i="2"/>
  <c r="I750" i="2"/>
  <c r="I719" i="2"/>
  <c r="I685" i="2"/>
  <c r="D661" i="2"/>
  <c r="I621" i="2"/>
  <c r="I598" i="2"/>
  <c r="I568" i="2"/>
  <c r="I549" i="2"/>
  <c r="I421" i="2"/>
  <c r="I411" i="2"/>
  <c r="I381" i="2"/>
  <c r="D368" i="2"/>
  <c r="H360" i="2"/>
  <c r="I345" i="2"/>
  <c r="I333" i="2"/>
  <c r="I961" i="2"/>
  <c r="F945" i="2"/>
  <c r="I945" i="2" s="1"/>
  <c r="I948" i="2"/>
  <c r="I896" i="2"/>
  <c r="F858" i="2"/>
  <c r="I858" i="2" s="1"/>
  <c r="I863" i="2"/>
  <c r="I856" i="2"/>
  <c r="I643" i="2"/>
  <c r="I624" i="2"/>
  <c r="I601" i="2"/>
  <c r="I575" i="2"/>
  <c r="I552" i="2"/>
  <c r="I385" i="2"/>
  <c r="E379" i="2"/>
  <c r="E377" i="2" s="1"/>
  <c r="F289" i="2"/>
  <c r="I289" i="2" s="1"/>
  <c r="I951" i="2"/>
  <c r="I899" i="2"/>
  <c r="I866" i="2"/>
  <c r="I846" i="2"/>
  <c r="E828" i="2"/>
  <c r="E827" i="2" s="1"/>
  <c r="F813" i="2"/>
  <c r="I813" i="2" s="1"/>
  <c r="I814" i="2"/>
  <c r="I778" i="2"/>
  <c r="I763" i="2"/>
  <c r="I731" i="2"/>
  <c r="I657" i="2"/>
  <c r="I646" i="2"/>
  <c r="I627" i="2"/>
  <c r="F604" i="2"/>
  <c r="I604" i="2" s="1"/>
  <c r="I606" i="2"/>
  <c r="I582" i="2"/>
  <c r="I543" i="2"/>
  <c r="I515" i="2"/>
  <c r="I509" i="2"/>
  <c r="I500" i="2"/>
  <c r="I467" i="2"/>
  <c r="E457" i="2"/>
  <c r="G431" i="2"/>
  <c r="I432" i="2"/>
  <c r="I388" i="2"/>
  <c r="D379" i="2"/>
  <c r="D377" i="2" s="1"/>
  <c r="I361" i="2"/>
  <c r="I261" i="2"/>
  <c r="I230" i="2"/>
  <c r="I215" i="2"/>
  <c r="I194" i="2"/>
  <c r="H151" i="2"/>
  <c r="F129" i="2"/>
  <c r="I129" i="2" s="1"/>
  <c r="I132" i="2"/>
  <c r="D54" i="2"/>
  <c r="I931" i="2"/>
  <c r="D828" i="2"/>
  <c r="D827" i="2" s="1"/>
  <c r="I792" i="2"/>
  <c r="I737" i="2"/>
  <c r="I743" i="2"/>
  <c r="I694" i="2"/>
  <c r="G684" i="2"/>
  <c r="G677" i="2" s="1"/>
  <c r="E677" i="2"/>
  <c r="G661" i="2"/>
  <c r="E642" i="2"/>
  <c r="D642" i="2"/>
  <c r="I652" i="2"/>
  <c r="I493" i="2"/>
  <c r="D457" i="2"/>
  <c r="F450" i="2"/>
  <c r="I450" i="2" s="1"/>
  <c r="I451" i="2"/>
  <c r="H431" i="2"/>
  <c r="I404" i="2"/>
  <c r="I409" i="2"/>
  <c r="F368" i="2"/>
  <c r="I369" i="2"/>
  <c r="F327" i="2"/>
  <c r="F323" i="2" s="1"/>
  <c r="F315" i="2"/>
  <c r="I315" i="2" s="1"/>
  <c r="I317" i="2"/>
  <c r="F297" i="2"/>
  <c r="G269" i="2"/>
  <c r="F284" i="2"/>
  <c r="I284" i="2" s="1"/>
  <c r="I285" i="2"/>
  <c r="H240" i="2"/>
  <c r="F229" i="2"/>
  <c r="I208" i="2"/>
  <c r="I186" i="2"/>
  <c r="F177" i="2"/>
  <c r="F176" i="2" s="1"/>
  <c r="I182" i="2"/>
  <c r="F166" i="2"/>
  <c r="I166" i="2" s="1"/>
  <c r="I168" i="2"/>
  <c r="I160" i="2"/>
  <c r="F143" i="2"/>
  <c r="H143" i="2"/>
  <c r="I144" i="2"/>
  <c r="D128" i="2"/>
  <c r="I135" i="2"/>
  <c r="F116" i="2"/>
  <c r="I116" i="2" s="1"/>
  <c r="I117" i="2"/>
  <c r="F88" i="2"/>
  <c r="I88" i="2" s="1"/>
  <c r="I89" i="2"/>
  <c r="F69" i="2"/>
  <c r="I69" i="2" s="1"/>
  <c r="I72" i="2"/>
  <c r="F54" i="2"/>
  <c r="I54" i="2" s="1"/>
  <c r="I58" i="2"/>
  <c r="I935" i="2"/>
  <c r="E11" i="2"/>
  <c r="H11" i="2"/>
  <c r="D941" i="2"/>
  <c r="D939" i="2" s="1"/>
  <c r="F768" i="2"/>
  <c r="D918" i="2"/>
  <c r="G881" i="2"/>
  <c r="D702" i="2"/>
  <c r="H684" i="2"/>
  <c r="H677" i="2" s="1"/>
  <c r="F684" i="2"/>
  <c r="H661" i="2"/>
  <c r="H539" i="2"/>
  <c r="E414" i="2"/>
  <c r="I414" i="2" s="1"/>
  <c r="D327" i="2"/>
  <c r="D323" i="2" s="1"/>
  <c r="H327" i="2"/>
  <c r="H323" i="2" s="1"/>
  <c r="E177" i="2"/>
  <c r="E176" i="2" s="1"/>
  <c r="G128" i="2"/>
  <c r="D88" i="2"/>
  <c r="D62" i="2" s="1"/>
  <c r="E991" i="2"/>
  <c r="H941" i="2"/>
  <c r="H939" i="2" s="1"/>
  <c r="E918" i="2"/>
  <c r="H881" i="2"/>
  <c r="F881" i="2"/>
  <c r="D768" i="2"/>
  <c r="D767" i="2" s="1"/>
  <c r="H642" i="2"/>
  <c r="G483" i="2"/>
  <c r="F431" i="2"/>
  <c r="D414" i="2"/>
  <c r="D395" i="2" s="1"/>
  <c r="H368" i="2"/>
  <c r="G327" i="2"/>
  <c r="G323" i="2" s="1"/>
  <c r="G311" i="2" s="1"/>
  <c r="G310" i="2" s="1"/>
  <c r="E297" i="2"/>
  <c r="G240" i="2"/>
  <c r="G151" i="2"/>
  <c r="E143" i="2"/>
  <c r="H128" i="2"/>
  <c r="G11" i="2"/>
  <c r="F11" i="2"/>
  <c r="D991" i="2"/>
  <c r="G941" i="2"/>
  <c r="G939" i="2" s="1"/>
  <c r="G909" i="2"/>
  <c r="H828" i="2"/>
  <c r="H827" i="2" s="1"/>
  <c r="H702" i="2"/>
  <c r="D684" i="2"/>
  <c r="D677" i="2" s="1"/>
  <c r="F661" i="2"/>
  <c r="G642" i="2"/>
  <c r="F539" i="2"/>
  <c r="F498" i="2"/>
  <c r="I498" i="2" s="1"/>
  <c r="H457" i="2"/>
  <c r="E431" i="2"/>
  <c r="H379" i="2"/>
  <c r="H377" i="2" s="1"/>
  <c r="G368" i="2"/>
  <c r="F360" i="2"/>
  <c r="D315" i="2"/>
  <c r="D297" i="2"/>
  <c r="H177" i="2"/>
  <c r="H176" i="2" s="1"/>
  <c r="D177" i="2"/>
  <c r="D176" i="2" s="1"/>
  <c r="F151" i="2"/>
  <c r="D143" i="2"/>
  <c r="F112" i="2"/>
  <c r="H54" i="2"/>
  <c r="H35" i="2"/>
  <c r="H30" i="2" s="1"/>
  <c r="G918" i="2"/>
  <c r="D881" i="2"/>
  <c r="G828" i="2"/>
  <c r="G827" i="2" s="1"/>
  <c r="H768" i="2"/>
  <c r="H767" i="2" s="1"/>
  <c r="F754" i="2"/>
  <c r="F702" i="2"/>
  <c r="G702" i="2"/>
  <c r="E661" i="2"/>
  <c r="H572" i="2"/>
  <c r="H571" i="2" s="1"/>
  <c r="E539" i="2"/>
  <c r="E483" i="2" s="1"/>
  <c r="G457" i="2"/>
  <c r="D431" i="2"/>
  <c r="H414" i="2"/>
  <c r="H395" i="2" s="1"/>
  <c r="G379" i="2"/>
  <c r="G377" i="2" s="1"/>
  <c r="G359" i="2" s="1"/>
  <c r="G358" i="2" s="1"/>
  <c r="E360" i="2"/>
  <c r="E327" i="2"/>
  <c r="I327" i="2" s="1"/>
  <c r="F240" i="2"/>
  <c r="E240" i="2"/>
  <c r="E112" i="2"/>
  <c r="H88" i="2"/>
  <c r="H62" i="2" s="1"/>
  <c r="H61" i="2" s="1"/>
  <c r="G88" i="2"/>
  <c r="G62" i="2" s="1"/>
  <c r="G61" i="2" s="1"/>
  <c r="G54" i="2"/>
  <c r="D11" i="2"/>
  <c r="E702" i="2"/>
  <c r="E941" i="2"/>
  <c r="E939" i="2" s="1"/>
  <c r="F918" i="2"/>
  <c r="F828" i="2"/>
  <c r="E754" i="2"/>
  <c r="D539" i="2"/>
  <c r="D498" i="2"/>
  <c r="F457" i="2"/>
  <c r="G414" i="2"/>
  <c r="G395" i="2" s="1"/>
  <c r="F379" i="2"/>
  <c r="E368" i="2"/>
  <c r="D360" i="2"/>
  <c r="H315" i="2"/>
  <c r="D269" i="2"/>
  <c r="D240" i="2"/>
  <c r="H229" i="2"/>
  <c r="G229" i="2"/>
  <c r="G177" i="2"/>
  <c r="G176" i="2" s="1"/>
  <c r="E151" i="2"/>
  <c r="D151" i="2"/>
  <c r="E128" i="2"/>
  <c r="D112" i="2"/>
  <c r="F35" i="2"/>
  <c r="E62" i="2"/>
  <c r="E572" i="2"/>
  <c r="E571" i="2" s="1"/>
  <c r="H269" i="2"/>
  <c r="H268" i="2" s="1"/>
  <c r="E269" i="2"/>
  <c r="D572" i="2"/>
  <c r="D571" i="2" s="1"/>
  <c r="F395" i="2"/>
  <c r="G572" i="2"/>
  <c r="G571" i="2" s="1"/>
  <c r="G268" i="2" l="1"/>
  <c r="E455" i="2"/>
  <c r="D483" i="2"/>
  <c r="D455" i="2" s="1"/>
  <c r="D454" i="2" s="1"/>
  <c r="I684" i="2"/>
  <c r="I229" i="2"/>
  <c r="I642" i="2"/>
  <c r="E323" i="2"/>
  <c r="E311" i="2" s="1"/>
  <c r="E310" i="2" s="1"/>
  <c r="F128" i="2"/>
  <c r="F127" i="2" s="1"/>
  <c r="F572" i="2"/>
  <c r="I572" i="2" s="1"/>
  <c r="I143" i="2"/>
  <c r="D268" i="2"/>
  <c r="I881" i="2"/>
  <c r="I11" i="2"/>
  <c r="H10" i="2"/>
  <c r="H9" i="2" s="1"/>
  <c r="I360" i="2"/>
  <c r="I539" i="2"/>
  <c r="G175" i="2"/>
  <c r="F909" i="2"/>
  <c r="I909" i="2" s="1"/>
  <c r="I35" i="2"/>
  <c r="F941" i="2"/>
  <c r="F939" i="2" s="1"/>
  <c r="I939" i="2" s="1"/>
  <c r="H127" i="2"/>
  <c r="H126" i="2" s="1"/>
  <c r="D359" i="2"/>
  <c r="D358" i="2" s="1"/>
  <c r="G393" i="2"/>
  <c r="G392" i="2" s="1"/>
  <c r="I918" i="2"/>
  <c r="E10" i="2"/>
  <c r="E9" i="2" s="1"/>
  <c r="G10" i="2"/>
  <c r="G9" i="2" s="1"/>
  <c r="E395" i="2"/>
  <c r="E393" i="2" s="1"/>
  <c r="E392" i="2" s="1"/>
  <c r="E824" i="2"/>
  <c r="E823" i="2" s="1"/>
  <c r="I112" i="2"/>
  <c r="H824" i="2"/>
  <c r="H823" i="2" s="1"/>
  <c r="D824" i="2"/>
  <c r="D823" i="2" s="1"/>
  <c r="F827" i="2"/>
  <c r="I828" i="2"/>
  <c r="G824" i="2"/>
  <c r="G823" i="2" s="1"/>
  <c r="G699" i="2"/>
  <c r="G698" i="2" s="1"/>
  <c r="F767" i="2"/>
  <c r="I767" i="2" s="1"/>
  <c r="I768" i="2"/>
  <c r="E699" i="2"/>
  <c r="E698" i="2" s="1"/>
  <c r="D699" i="2"/>
  <c r="D698" i="2" s="1"/>
  <c r="I702" i="2"/>
  <c r="F677" i="2"/>
  <c r="I661" i="2"/>
  <c r="H641" i="2"/>
  <c r="H640" i="2" s="1"/>
  <c r="D641" i="2"/>
  <c r="D640" i="2" s="1"/>
  <c r="E641" i="2"/>
  <c r="E640" i="2" s="1"/>
  <c r="E454" i="2"/>
  <c r="F483" i="2"/>
  <c r="I483" i="2" s="1"/>
  <c r="H483" i="2"/>
  <c r="H455" i="2" s="1"/>
  <c r="H454" i="2" s="1"/>
  <c r="I457" i="2"/>
  <c r="H393" i="2"/>
  <c r="H392" i="2" s="1"/>
  <c r="D393" i="2"/>
  <c r="D392" i="2" s="1"/>
  <c r="I431" i="2"/>
  <c r="F393" i="2"/>
  <c r="F377" i="2"/>
  <c r="I377" i="2" s="1"/>
  <c r="I379" i="2"/>
  <c r="H359" i="2"/>
  <c r="H358" i="2" s="1"/>
  <c r="E359" i="2"/>
  <c r="E358" i="2" s="1"/>
  <c r="I368" i="2"/>
  <c r="I754" i="2"/>
  <c r="H311" i="2"/>
  <c r="H310" i="2" s="1"/>
  <c r="D311" i="2"/>
  <c r="D310" i="2" s="1"/>
  <c r="I323" i="2"/>
  <c r="F311" i="2"/>
  <c r="I311" i="2" s="1"/>
  <c r="I297" i="2"/>
  <c r="E268" i="2"/>
  <c r="F269" i="2"/>
  <c r="F268" i="2" s="1"/>
  <c r="I240" i="2"/>
  <c r="E175" i="2"/>
  <c r="H175" i="2"/>
  <c r="H174" i="2" s="1"/>
  <c r="F175" i="2"/>
  <c r="I177" i="2"/>
  <c r="I176" i="2"/>
  <c r="D127" i="2"/>
  <c r="D126" i="2" s="1"/>
  <c r="I151" i="2"/>
  <c r="E127" i="2"/>
  <c r="E126" i="2" s="1"/>
  <c r="G127" i="2"/>
  <c r="G126" i="2" s="1"/>
  <c r="D61" i="2"/>
  <c r="F65" i="2"/>
  <c r="I65" i="2" s="1"/>
  <c r="F62" i="2"/>
  <c r="I62" i="2" s="1"/>
  <c r="D10" i="2"/>
  <c r="D9" i="2" s="1"/>
  <c r="F30" i="2"/>
  <c r="I30" i="2" s="1"/>
  <c r="E61" i="2"/>
  <c r="G641" i="2"/>
  <c r="G640" i="2" s="1"/>
  <c r="G455" i="2"/>
  <c r="G454" i="2" s="1"/>
  <c r="H699" i="2"/>
  <c r="H698" i="2" s="1"/>
  <c r="D175" i="2"/>
  <c r="D174" i="2" s="1"/>
  <c r="G174" i="2"/>
  <c r="I395" i="2" l="1"/>
  <c r="F359" i="2"/>
  <c r="I359" i="2" s="1"/>
  <c r="I269" i="2"/>
  <c r="F571" i="2"/>
  <c r="I571" i="2" s="1"/>
  <c r="I941" i="2"/>
  <c r="I128" i="2"/>
  <c r="I268" i="2"/>
  <c r="I175" i="2"/>
  <c r="E174" i="2"/>
  <c r="F824" i="2"/>
  <c r="I824" i="2" s="1"/>
  <c r="I827" i="2"/>
  <c r="F699" i="2"/>
  <c r="F698" i="2" s="1"/>
  <c r="I698" i="2" s="1"/>
  <c r="I677" i="2"/>
  <c r="F641" i="2"/>
  <c r="F640" i="2" s="1"/>
  <c r="I640" i="2" s="1"/>
  <c r="F455" i="2"/>
  <c r="F392" i="2"/>
  <c r="I392" i="2" s="1"/>
  <c r="I393" i="2"/>
  <c r="F310" i="2"/>
  <c r="I310" i="2" s="1"/>
  <c r="F174" i="2"/>
  <c r="F126" i="2"/>
  <c r="I126" i="2" s="1"/>
  <c r="I127" i="2"/>
  <c r="F61" i="2"/>
  <c r="I61" i="2" s="1"/>
  <c r="F10" i="2"/>
  <c r="F454" i="2" l="1"/>
  <c r="I454" i="2" s="1"/>
  <c r="I174" i="2"/>
  <c r="F358" i="2"/>
  <c r="I358" i="2" s="1"/>
  <c r="I699" i="2"/>
  <c r="F823" i="2"/>
  <c r="I823" i="2" s="1"/>
  <c r="I641" i="2"/>
  <c r="I455" i="2"/>
  <c r="F9" i="2"/>
  <c r="I9" i="2" s="1"/>
  <c r="I10" i="2"/>
</calcChain>
</file>

<file path=xl/sharedStrings.xml><?xml version="1.0" encoding="utf-8"?>
<sst xmlns="http://schemas.openxmlformats.org/spreadsheetml/2006/main" count="3416" uniqueCount="1949">
  <si>
    <t>Kodas</t>
  </si>
  <si>
    <t>Pavadinimas</t>
  </si>
  <si>
    <t>SP lėšos</t>
  </si>
  <si>
    <t>2024 metų patikslinti asignavimai</t>
  </si>
  <si>
    <t>2024 metų kasinės išlaidos (I-IV ketvirtis)</t>
  </si>
  <si>
    <t>Asignavimų likutis nuo 2024 metų patikslintų asignavimų</t>
  </si>
  <si>
    <t>Efekto* /Rezultato* /Produkto* /Indėlio*</t>
  </si>
  <si>
    <t>metų</t>
  </si>
  <si>
    <t>I-IV ketvirtis</t>
  </si>
  <si>
    <t>Rodiklis</t>
  </si>
  <si>
    <t>Mato vnt.</t>
  </si>
  <si>
    <t>2025</t>
  </si>
  <si>
    <t>2026</t>
  </si>
  <si>
    <t>Aprašymas</t>
  </si>
  <si>
    <t>Pastaba</t>
  </si>
  <si>
    <t>Planas</t>
  </si>
  <si>
    <t>Faktas</t>
  </si>
  <si>
    <t>01.</t>
  </si>
  <si>
    <t>Miesto urbanistinės plėtros programa</t>
  </si>
  <si>
    <t>01.01.</t>
  </si>
  <si>
    <t>Užtikrinti kompleksišką ir darnų miesto planavimą</t>
  </si>
  <si>
    <t>Parengtų teritorijų planavimo, žemėtvarkos planavimo, žemės sklypų kadastrinių matavimų dokumentų</t>
  </si>
  <si>
    <t>vnt.</t>
  </si>
  <si>
    <t>0,00</t>
  </si>
  <si>
    <t>01.01.01.</t>
  </si>
  <si>
    <t>Rengti teritorijų planavimo dokumentus, padedančius užtikrinti darniąją miesto plėtrą</t>
  </si>
  <si>
    <t>01.01.01.01</t>
  </si>
  <si>
    <t>Koreguoti Šiaulių miesto savivaldybės teritorijos bendrąjį planą</t>
  </si>
  <si>
    <t>Atliktas Bendrojo plano pakeitimas</t>
  </si>
  <si>
    <t>proc.</t>
  </si>
  <si>
    <t>1.10.</t>
  </si>
  <si>
    <t>Parengtas Šiaulių miesto bendrojo plano koregavimas teritorijose tarp Trumpiškių, Bačiūnų, Pramonės g. ir želdynų ploto bei Šiaulių miesto administracinės ribos, Lingailių g., sklypo, kurio kadastro Nr. 2901/8001:0007, ir Bačiūnų g.</t>
  </si>
  <si>
    <t>1.01.</t>
  </si>
  <si>
    <t>01.01.01.02</t>
  </si>
  <si>
    <t>Organizuoti detaliųjų ir specialiųjų planų parengimą</t>
  </si>
  <si>
    <t>Parengtų detaliųjų ir specialiųjų planų</t>
  </si>
  <si>
    <t>Parengtas Teritorijos tarp Aušros al., Žemaitės, Dobilo ir Vaisių g. (Centrinio parko) Šiaulių mieste detaliojo plano keitimas</t>
  </si>
  <si>
    <t>Parengtas Prisikėlimo aikštės su prieigomis detaliojo plano keitimas</t>
  </si>
  <si>
    <t>Atliktas supaprastinta tvarka parengto detaliojo plano sklypo Marijampolės g.22 keitimas</t>
  </si>
  <si>
    <t>Atliktas žemės sklypo J. Žemaičio g. 3, Šiauliuose detaliojo plano keitimas</t>
  </si>
  <si>
    <t>Atliktas supaprastinta tvarka parengto žemės sklypo Pramonės g. 15, Šiauliuose detaliojo plano koregavimas</t>
  </si>
  <si>
    <t>Atliktas supaprastinta tvarka parengto detalaus plano teritorijos Architektų g.1, Šiauliuose  koregavimas</t>
  </si>
  <si>
    <t>Parengtas kvartalo, esančio tarp Perkūno, Sprudeikos g. ir Aukštabalio g. tęsinio, detalusis planas</t>
  </si>
  <si>
    <t>Parengtas Salduvės parko teritorijos Šiauliuose detalusis planas</t>
  </si>
  <si>
    <t>Įvykdytas supaprastinta tvarka parengto žemės sklypo Tilžės g. 74A, Šiauliuose, detaliojo plano koregavimas</t>
  </si>
  <si>
    <t>Parengtas Daušiškių kapinių detaliojo plano koregavimas</t>
  </si>
  <si>
    <t>01.01.01.03</t>
  </si>
  <si>
    <t>Įgyvendinti  žemės paėmimo visuomenės poreikiams procedūrą</t>
  </si>
  <si>
    <t>Įgyvendinta žemės paėmimo visuomenės poreikiams procedūra, paimtas žemės sklypas visuomenės poreikiams</t>
  </si>
  <si>
    <t>Parengta sąnaudų naudos analizė</t>
  </si>
  <si>
    <t>01.01.01.04</t>
  </si>
  <si>
    <t>Rengti žemėtvarkos planavimo dokumentus, žemės sklypų kadastrinius matavimus</t>
  </si>
  <si>
    <t>Parengta kadastrinių matavimų bylų, žemės sklypų pertvarkymo projektų</t>
  </si>
  <si>
    <t>01.01.01.05</t>
  </si>
  <si>
    <t>Įgyvendinti projektą „Šiaulių miesto miškų sklypų suformavimas ir įregistravimas nekilnojamo turto registre“</t>
  </si>
  <si>
    <t>1.05.</t>
  </si>
  <si>
    <t>Suformuotų ir įregistruotų miesto miškų sklypų</t>
  </si>
  <si>
    <t>sk.</t>
  </si>
  <si>
    <t>01.01.02.</t>
  </si>
  <si>
    <t>Pagerinti miesto teigiamo architektūrinio ir vizualinio įvaizdžio kokybę</t>
  </si>
  <si>
    <t>01.01.02.01</t>
  </si>
  <si>
    <t>Formuoti miesto teigiamą architektūrinį ir vizualųjį įvaizdį</t>
  </si>
  <si>
    <t>Parengtų, įgyvendintų projektinių pasiūlymų, idėjos konkursų</t>
  </si>
  <si>
    <t>Įgyvendintas paminklo "Tautos laisvė" projektas</t>
  </si>
  <si>
    <t>Įgyvendintas Mozaikos „Šiauliai“, esančios adresu Tilžės g. 198, Šiauliuose, konservavimo, restauravimo ir atkūrimo darbų aprašymo programos – projekto parengimas ir darbų pagal programą – projektą vykdymas.</t>
  </si>
  <si>
    <t>01.01.02.02</t>
  </si>
  <si>
    <t>Organizuoti architektūriniu, urbanistiniu, valstybiniu ar viešojo intereso požiūriu reikšmingų objektų planavimo ar projektavimo architektūrinius konkursus</t>
  </si>
  <si>
    <t>Suorganizuota architektūrinių konkursų</t>
  </si>
  <si>
    <t>01.01.02.03</t>
  </si>
  <si>
    <t>Organizuoti projektinių darbų finansavimą</t>
  </si>
  <si>
    <t>Architektūros, urbanistikos ir paveldosaugos skyriaus parengtų techninių projektų</t>
  </si>
  <si>
    <t>Statybos ir renovacijos skyriaus parengtų techninių projektų</t>
  </si>
  <si>
    <t>Miesto ūkio ir aplinkos skyriaus parengtų techninių projektų</t>
  </si>
  <si>
    <t>01.01.02.03.01</t>
  </si>
  <si>
    <t>Organizuoti Architektūros, urbanistikos ir paveldosaugos skyriaus techninių projektų parengimą ir finansavimą</t>
  </si>
  <si>
    <t>Parengtas Lieporių parko hidrogeologijos projektas</t>
  </si>
  <si>
    <t>Parengtas Lieporių parko vaikų žaidimo aikštelės projektas</t>
  </si>
  <si>
    <t>Parengti inžinerinių tinklų iškėlimo, perkėlimo, prijungimo, apsaugojimo  reikalavimai</t>
  </si>
  <si>
    <t>Parengtas Dainų parko vaikų žaidimo aikštelės projektas</t>
  </si>
  <si>
    <t>Parengta administracinio pastato, adresu Vasario 16-osios g. 62, Šiauliuose remonto projektinė dokumentacija</t>
  </si>
  <si>
    <t>Atliktas Bugailiškio namo II etapo remonto  projektavimas</t>
  </si>
  <si>
    <t>01.01.02.03.02</t>
  </si>
  <si>
    <t>Organizuoti Statybos ir renovacijos skyriaus techninių projektų parengimą ir finansavimą</t>
  </si>
  <si>
    <t>Parengtų techninių projektų</t>
  </si>
  <si>
    <t>01.01.02.03.03</t>
  </si>
  <si>
    <t>Organizuoti Miesto ūkio ir aplinkos skyriaus techninių projektų parengimą ir finansavimą</t>
  </si>
  <si>
    <t>Parengta projektų</t>
  </si>
  <si>
    <t>01.01.03.</t>
  </si>
  <si>
    <t>Organizuoti kultūros paveldo apsaugą</t>
  </si>
  <si>
    <t>01.01.03.01</t>
  </si>
  <si>
    <t>Organizuoti kultūros paveldo tvarkybą</t>
  </si>
  <si>
    <t>Sutvarkyta kultūros paveldo objektų</t>
  </si>
  <si>
    <t>Įgyvendintas informacinių stovų (stendų) suprojektavimas, jų pagaminimas ir sumontavimas prie Šiaulių m. memorialinių objektų – neveikiančių kapinių</t>
  </si>
  <si>
    <t>Atlikti kitos paskirties inžinerinių statinių (atraminių sienelių) žemės sklype (kad. Nr. 2901/0015:143) Šiaulių mieste tvarkomieji statybos darbai</t>
  </si>
  <si>
    <t>Parengtas Šiaulių miesto savivaldybės pastato stogo dangos (likusios dalies) keitimo projektas</t>
  </si>
  <si>
    <t>01.01.03.02</t>
  </si>
  <si>
    <t>Plėtoti kultūros paveldo apskaitą</t>
  </si>
  <si>
    <t>Įgyvendinta kultūros paveldo apskaitos priemonių</t>
  </si>
  <si>
    <t>01.01.04.</t>
  </si>
  <si>
    <t>Kokybiškai administruoti Šiaulių m. erdvinių duomenų bazę</t>
  </si>
  <si>
    <t>01.01.04.01</t>
  </si>
  <si>
    <t>Organizuoti miesto erdvinių duomenų bazės techninę priežiūrą, programinės įrangos atnaujinimą</t>
  </si>
  <si>
    <t>Atnaujinta programinė įranga</t>
  </si>
  <si>
    <t>01.01.04.02</t>
  </si>
  <si>
    <t>Organizuoti Šiaulių miesto savivaldybės geodezijos ir kartografijos darbus</t>
  </si>
  <si>
    <t>Parengta topografinių planų</t>
  </si>
  <si>
    <t>02.</t>
  </si>
  <si>
    <t>Kultūros plėtros programa</t>
  </si>
  <si>
    <t>02.01.</t>
  </si>
  <si>
    <t>Skatinti įvairių visuomenės grupių dalyvavimą kultūroje puoselėjant kultūros tradicijas ir  kultūrinės raiškos įvairovę bei gerinti kultūrinių paslaugų prieinamumą ir kokybę</t>
  </si>
  <si>
    <t>Gyventojų įsitraukimo į miesto kultūrinį gyvenimą augimas</t>
  </si>
  <si>
    <t>Kultūros paslaugų vartotojų skaičiaus augimas</t>
  </si>
  <si>
    <t>Atnaujintų kultūros įstaigų/objektų</t>
  </si>
  <si>
    <t>02.01.01.</t>
  </si>
  <si>
    <t>Užtikrinti miesto kultūrinio gyvenimo gyvybingumą, ugdyti ir skatinti miesto gyventojų ir jaunimo pilietinį aktyvumą bei tautinį sąmoningumą</t>
  </si>
  <si>
    <t>02.01.01.01</t>
  </si>
  <si>
    <t>Skatinti Šiaulių miesto kultūros ir meno įvairovę, sklaidą, prieinamumą</t>
  </si>
  <si>
    <t>Finansuotų kultūros projektų</t>
  </si>
  <si>
    <t>02.01.01.02</t>
  </si>
  <si>
    <t>Skatinti meno kūrėjus</t>
  </si>
  <si>
    <t>Įteiktų premijų ir stipendijų</t>
  </si>
  <si>
    <t>02.01.01.10</t>
  </si>
  <si>
    <t>Užtikrinti reprezentacinių Šiaulių miesto festivalių tęstinumą, jų ilgalaikiškumą, dalinį finansavimą, skatinti naujų idėjų, raiškos formų atsiradimą ir raidą</t>
  </si>
  <si>
    <t>Finansuotų festivalių</t>
  </si>
  <si>
    <t>02.01.01.11</t>
  </si>
  <si>
    <t>Koordinuoti valstybinių švenčių, atmintinų dienų paminėjimą, svarbių renginių, plenerų organizavimą, puoselėti tautines tradicijas</t>
  </si>
  <si>
    <t>Surengtų miesto, valstybinių, kalendorinių ir atmintinų dienų švenčių</t>
  </si>
  <si>
    <t>Suorganizuota 14 švenčių ir atmintinų dienų minėjimų: 1. Laisvės gynėjų dienos. 2. Užgavėnių („Baisiai gražių Morių“ paroda). 3. Lietuvos valstybės atkūrimo dienos. 4. Lietuvos nepriklausomybės atkūrimo dienos. 5. Pasaulinės meno dienos. 6. Šventė „Aš - mažasis šiaulietis“. 7. Gedulo ir vilties dienos. 8. Joninių. 9. Valstybės (Lietuvos karaliaus Mindaugo karūnavimo) dienos. 10. Baltijos kelio 35-ečio minėjimas. 11. Miesto šventė „Šiaulių dienos 788“. 12. Tarptautinės pagyvenusių žmonių dienos. 13. Kalėdų eglės įžiebimo šventė. 14. Kultūros ir meno premijų įteikimo šventinis renginys.</t>
  </si>
  <si>
    <t>Įgyvendintų Tolygios kultūrinės raidos programos projektų, papildomų kultūros priemonių</t>
  </si>
  <si>
    <t>Atminimo ženklų sukūrimo ir gamybos paslaugų</t>
  </si>
  <si>
    <t>02.01.01.11.02</t>
  </si>
  <si>
    <t>Koordinuoti valstybinių švenčių, atmintinų dienų paminėjimą, svarbių renginių organizavimą</t>
  </si>
  <si>
    <t>Sausio 13-oji, Laisvės gynėjų diena</t>
  </si>
  <si>
    <t>2024-01-12 įvyko Laisvės gynėjų dienos renginys  skvere prie Šiaulių miesto savivaldybės.</t>
  </si>
  <si>
    <t>Vasario 16-oji, Lietuvos valstybės atkūrimo diena</t>
  </si>
  <si>
    <t>2024-02-15 įvyko iškilminga  Lietuvos valstybės vėliavos pakėlimo ceremonija ir minėjimas Prisikėlimo aikštėje, 2024-02-16 surengtas Lietuvos valstybės atkūrimo dienos renginys  Šiaulių m. kultūros centre „Laiptų galerija“ ir literatūrinė-meninė akcija „Nepriklausomybės maršrutai“ Šiaulių miesto maršrutiniuose autobusuose Nr. 12 ir 21; 2024-02-16 įvyko koncertas „Tėvynės spalvos“ Šiaulių kultūros centre ir  koncertas Šiaulių Švč. Mergelės Marijos Nekaltojo Prasidėjimo bažnyčioje.</t>
  </si>
  <si>
    <t>Užgavėnės</t>
  </si>
  <si>
    <t>Vasario 9-12 d. Kaštonų al. surengta „Baisiai gražių Morių“ paroda, 2024-02-12  - jų išlydėtuvių ceremonija.</t>
  </si>
  <si>
    <t>Kovo 11-oji, Lietuvos nepriklausomybės atkūrimo diena</t>
  </si>
  <si>
    <t>2024-03-11 Prisikėlimo aikštėje suorganizuota iškilminga Lietuvos valstybės vėliavos pakėlimo ceremonija ir grupės „Žalvarinis“ koncertas,  maršrutu Šiaulių arena - J. Jablonskio g. - Tilžės g. - Prisikėlimo a. vyko  trispalvės žygis „Lietuva mūsų širdyse“.</t>
  </si>
  <si>
    <t>Birželio 14-oji, Gedulo ir vilties diena</t>
  </si>
  <si>
    <t>2024-06-14 prie Šiaulių geležinkelio rampos įvyko Gedulo ir vilties dienos minėjimas, skvere prie Šiaulių miesto savivaldybės - tremtinių ir politinių kalinių atminimo ir pagerbimo akcija „Atminties neištremsi“.</t>
  </si>
  <si>
    <t>Joninės</t>
  </si>
  <si>
    <t>2024-06-23 Šiaulių miesto Zubovų parke įvyko šventė „Jonvabalių naktis. Joninės“ (meninis apšvietimas, tradicinės Joninių apeigos, folkloro grupių „Elektro Folk“ ir „Dram bam burtai“ koncertas).</t>
  </si>
  <si>
    <t>Liepos 6-oji, Valstybės (Lietuvos karaliaus Mindaugo karūnavimo) diena)</t>
  </si>
  <si>
    <t>2024-07-06 Prisikėlimo a. įvyko iškilminga vėliavos pakėlimo ceremonija, Amfiteatre - O. Ditkovskio ir S. Bareikio koncertas. Šiaulių m. koncertinėje įstaigoje „Saulė“ surengtas šventinis koncertas, kuriame buvo atlikta L. van Bethoveno „Likimo simfonija“. Liepos 3 d. Šiaulių m. kultūros centre „Laiptų galerija“ įvyko koncertas „Laisvė šaukia“, liepos 5 d . - B. Šalčio tapybos parodos atidarymas ir liepos 6 d. - nemokamas šios parodos lankymas.</t>
  </si>
  <si>
    <t>Rugpjūčio 23-oji, Baltijos kelio diena, Laisvės diena</t>
  </si>
  <si>
    <t>2024 m. rugpjūčio 23, 24 ir 31 d. įvyko renginių ciklas „Laisvės keliu“: 23 d. - Šv. Apaštalų Petro ir Povilo katedroje surengtas  iškilmingas Baltijos kelio 35-ečio minėjimas ir muzikinė programa; 24 d. - Sukilėlių kalnelyje įvyko susitikimas su tarptautinės katalikiškos organizacijos „Tradicija, šeima, nuosavybė“ nariais, 31 d. - Šiaulių kultūros centre įvyko iškilmingas minėjimas ir dokumentinio filmo „Partizanas“ peržiūra.</t>
  </si>
  <si>
    <t>Miesto šventė „Šiaulių dienos“</t>
  </si>
  <si>
    <t>2024 m. rugsėjo 6-7 d. Šiaulių miesto kultūros, sporto, švietimo ir kitose įstaigose ir organizacijose bei viešosiose miesto erdvėse įvyko miesto šventė „Šiaulių dienos 788“.</t>
  </si>
  <si>
    <t>Tarptautinė pagyvenusių žmonių diena</t>
  </si>
  <si>
    <t>Spalio 1 d. įvyko renginys „Muzikos spalvos“ Šiaulių m. koncertinėje įstaigoje „Saulė“, kūrybiniai-edukaciniai užsiėmimai senjorams Šiaulių kultūros centre, spektakliai Valstybiniame Šiaulių dramos teatre ir Šiaulių kultūros centre.</t>
  </si>
  <si>
    <t>Kalėdų eglės įžiebimo šventė</t>
  </si>
  <si>
    <t>Sukurtas Šiaulių miesto Kalėdų eglės įvaizdis, atlikti eglės puošimo darbai, gruodžio 7 d. suorganizuota Kalėdų eglės įžiebimo šventė, gruodžio 19 d. - Kalėdinių giesmių vakaras, gruodžio 31 d. įvyko koncertas Šiaulių m. koncertinėje įstaigoje „Saulė“ ir Naujametinės dūzgės Prisikėlimo a., 2025 m. sausio 6 d. įvyko Trijų karalių eitynės.</t>
  </si>
  <si>
    <t>Kultūros diena</t>
  </si>
  <si>
    <t>2024-04-15 Šiaulių kultūros centre įvyko Šiaulių miesto koncertinės įstaigos „Saulė“ surengtas koncertas, skirtas Pasaulinei meno dienai.</t>
  </si>
  <si>
    <t>Kultūros ir meno premijų įteikimo šventinis renginys</t>
  </si>
  <si>
    <t>Gruodžio 13 d. Šiaulių m. koncertinėje įstaigoje „Saulė“ įvyko iškilmingas Šiaulių miesto kultūros ir meno premijų įteikimo vakaras, kurio programoje:  šiuolaikinio šokio grupės „Ulna“ spektaklis „Balkonas“, premijų įteikimo ceremonija, skambėjo fortepijoninio kvarteto „Evara“ atliekama muzika.</t>
  </si>
  <si>
    <t>Šventė „Aš - mažasis šiaulietis“</t>
  </si>
  <si>
    <t>2024-06-01 Šiaulių miesto centriniame  parke įvyko šventė „Aš - mažasis šiaulietis“.</t>
  </si>
  <si>
    <t>02.01.01.11.03</t>
  </si>
  <si>
    <t>Įgyvendinti Tolygios kultūrinės raidos programos projektus, papildomas kultūros priemones</t>
  </si>
  <si>
    <t>02.01.01.11.04</t>
  </si>
  <si>
    <t>Organizuoti reprezentacinių prekių ir kultūros paslaugų įsigijimą</t>
  </si>
  <si>
    <t>02.01.04.</t>
  </si>
  <si>
    <t>Užtikrinti kultūros paslaugų sklaidą ir prieinamumą gyventojams</t>
  </si>
  <si>
    <t>02.01.04.01</t>
  </si>
  <si>
    <t>Užtikrinti kultūros įstaigų veiklą</t>
  </si>
  <si>
    <t>Surengtų parodų</t>
  </si>
  <si>
    <t>Surengtos 72 parodos, iš jų surengė: 6 - Šiaulių kultūros centras, 35 - Šiaulių miesto kultūros centras „Laiptų galerija“, 28 - Šiaulių dailės galerija, 3 - Šiaulių turizmo informacijos centras.</t>
  </si>
  <si>
    <t>Surengtų renginių</t>
  </si>
  <si>
    <t>Suorganizuoti 2448 renginiai, iš jų suorganizavo: 579 - Šiaulių kultūros centras, 282 - Šiaulių miesto kultūros centras „Laiptų galerija“, 382 - Šiaulių dailės galerija, 126 - Šiaulių miesto koncertinė įstaiga „Saulė“, 679 - Šiaulių miesto savivaldybės viešoji biblioteka, 400 - Šiaulių turizmo informacijos centras.</t>
  </si>
  <si>
    <t>2.03.</t>
  </si>
  <si>
    <t>Įgyvendintų projektų</t>
  </si>
  <si>
    <t>Įvykdyti 26 projektai, iš jų įvykdė: 5 - Šiaulių kultūros centras, 2 - Šiaulių miesto kultūros centras „Laiptų galerija“, 5 - Šiaulių miesto savivaldybės viešoji biblioteka, 1 - Šiaulių miesto koncertinė įstaiga „Saulė“, 2 - Šiaulių turizmo informacijos centras, 11 - Šiaulių dailės galerija.</t>
  </si>
  <si>
    <t>Šiaulių turizmo informacijos centro ir „Baltų kelio“ centro lankytojų</t>
  </si>
  <si>
    <t>Šiaulių turizmo informacijos centras ir „Baltų centras“ 2024 m. sulaukė 38003 lankytojų.</t>
  </si>
  <si>
    <t>2.01.</t>
  </si>
  <si>
    <t>Surengtų edukacijų</t>
  </si>
  <si>
    <t>Surengtos 1067 edukacijos, iš jų surengė: 221 - Šiaulių kultūros centras, 120 - Šiaulių miesto kultūros centras „Laiptų galerija“, 245 - Šiaulių dailės galerija, 8 - Šiaulių miesto koncertinė įstaiga „Saulė“, 374 - Šiaulių miesto savivaldybės viešoji biblioteka, 99 - Šiaulių turizmo informacijos centras.</t>
  </si>
  <si>
    <t>2.02.</t>
  </si>
  <si>
    <t>Surengtų ekskursijų</t>
  </si>
  <si>
    <t>Surengtos 225 ekskursijos, iš jų surengė: 3 - Šiaulių dailės galerija,  222 - Šiaulių turizmo informacijos centras.</t>
  </si>
  <si>
    <t>Lankytojų (renginių, parodų, projektų ir kt. lankytojų, žiūrovų, klausytojų, skaitytojų, paslaugų vartotojų ir pan.)</t>
  </si>
  <si>
    <t>Sulaukta 577643 renginių lankytojai, iš jų sulaukė: 210707 - Šiaulių kultūros centras, 47511 - Šiaulių miesto kultūros centras „Laiptų galerija“, 63222 - Šiaulių dailės galerija, 97208 - Šiaulių miesto koncertinė įstaiga „Saulė“, 138056 - Šiaulių miesto savivaldybės viešoji biblioteka, 20939 - Šiaulių turizmo informacijos centras.</t>
  </si>
  <si>
    <t>1.09.</t>
  </si>
  <si>
    <t>Dalyvių (renginyje / parodoje / koncerte / projekte / festivalyje ir pan. dalyvavusių kūrėjų, atlikėjų, organizatorių, savanorių ir kt.)</t>
  </si>
  <si>
    <t>Sulaukta 23924 renginių dalyvių, iš jų sulaukė: 17101 - Šiaulių kultūros centras, 890 - Šiaulių miesto kultūros centras „Laiptų galerija“, 978 - Šiaulių dailės galerija, 4064 - Šiaulių miesto koncertinė įstaiga „Saulė“, 322 - Šiaulių miesto savivaldybės viešoji biblioteka, 569 - Šiaulių turizmo informacijos centras.</t>
  </si>
  <si>
    <t>Edukacijų dalyvių</t>
  </si>
  <si>
    <t>Sulaukta 23443 edukacijų dalyvių, iš jų sulaukė: 3813 - Šiaulių kultūros centras, 1437 - Šiaulių miesto kultūros centras „Laiptų galerija“, 5494 - Šiaulių dailės galerija, 3263 - Šiaulių miesto koncertinė įstaiga „Saulė“, 7521 - Šiaulių miesto savivaldybės viešoji biblioteka, 1915 - Šiaulių turizmo informacijos centras.</t>
  </si>
  <si>
    <t>Ekskursijų dalyvių</t>
  </si>
  <si>
    <t>Sulaukti 5042 ekskursijų dalyviai, iš jų sulaukė: 59 - Šiaulių dailės galerija, 4983 - Šiaulių turizmo informacijos centras.</t>
  </si>
  <si>
    <t>02.01.04.09</t>
  </si>
  <si>
    <t>Atnaujinti (modernizuoti) Šiaulių miesto koncertinę įstaigą „Saulė" (Tilžės g. 140), rekonstruoti pastatą ir pastatyti priestatą</t>
  </si>
  <si>
    <t>Atlikta planuotų darbų</t>
  </si>
  <si>
    <t>02.01.04.10</t>
  </si>
  <si>
    <t>Didinti Šiaulių miesto kultūros centro "Laiptų galerija" pastato (Žemaitės g. 83) funkcionalumą</t>
  </si>
  <si>
    <t>Atlikti I etapo darbai kultūros paveldo objekte - P. Bugailiškio name -  restauruoti mediniai langai ir dvejos vidinės durys,  restauruotos dvejos balkono durys.</t>
  </si>
  <si>
    <t>02.01.04.11</t>
  </si>
  <si>
    <t>Atnaujinti (modernizuoti) Šiaulių dailės galerijos pastatą (Vilniaus g. 245)</t>
  </si>
  <si>
    <t>Atlikta mobiliosios ir interaktyviosios erdvės įkūrimo darbų</t>
  </si>
  <si>
    <t>Atnaujinta ir modernizuota edukacinė galerijos erdvė - atliktas paprastasis remontas (išlietos naujos grindys, atnaujintos lubos ir sienos), atnaujinta elektros instaliacija ir apšvietimas, įrengti nauji mobilūs baldai - spinta, sienelė, mobilūs stalai ir kėdės. Įrengta kūrinių kabinimo sistema. Atnaujinta techninė įranga - įsigytas interaktyvus projektorius su interaktyvia lenta, kompiuteris ir kt. įranga. Suremontuoti ir atnaujinti sanitariniai mazgai ir ventiliacijos įranga.</t>
  </si>
  <si>
    <t>02.01.04.12</t>
  </si>
  <si>
    <t>Didinti Šiaulių kultūros centro Rėkyvos kultūros namų funkcionalumą</t>
  </si>
  <si>
    <t>Atlikta teritorijos sutvarkymo darbų</t>
  </si>
  <si>
    <t>Atlikta daugiafunkcės erdvės įkūrimo darbų</t>
  </si>
  <si>
    <t>Įsigyta ir įdiegta apšvietimo, įgarsinimo įranga, įsigyti baldai personalo darbo vietoms sukurti, poilsio zonai, kameriniams renginiams. Įrengta oro kondicionavimo sistema Koncertų salėje, įrengta rūbų kabinimo sistema, įsigytos scenos užuolaidos.</t>
  </si>
  <si>
    <t>Atlikta energinio efektyvumo didinimo rangos darbų</t>
  </si>
  <si>
    <t>1.02.</t>
  </si>
  <si>
    <t>02.01.04.15</t>
  </si>
  <si>
    <t>Atnaujinti Šiaulių miesto savivaldybės viešosios bibliotekos patalpas</t>
  </si>
  <si>
    <t>02.01.04.16</t>
  </si>
  <si>
    <t>Didinti Šiaulių kultūros centro pastato (Aušros al. 31) funkcionalumą</t>
  </si>
  <si>
    <t>Įdiegtos oro kondicionavimo sistemos Šiaulių kultūros centro Didžiojoje koncertų  ir Oranžinėje salėse.</t>
  </si>
  <si>
    <t>02.02.</t>
  </si>
  <si>
    <t>Stiprinti miesto įvaizdį plėtojant turizmo sektorių</t>
  </si>
  <si>
    <t>Turistų ir lankytojų skaičiaus Šiaulių mieste augimas</t>
  </si>
  <si>
    <t>Įvykdyta miesto įvaizdžio rinkodaros strategijos gairių priemonių</t>
  </si>
  <si>
    <t>Šiaulių m. delegacijos dalyvių skaičius Šimtmečio Lietuvos dainų šventėje</t>
  </si>
  <si>
    <t>žm.</t>
  </si>
  <si>
    <t>Regioninės dainų šventės „Teka saulelė“ dalyvių skaičius</t>
  </si>
  <si>
    <t>02.02.02.</t>
  </si>
  <si>
    <t>Vystyti Šiaulių miesto turizmo sektorių</t>
  </si>
  <si>
    <t>02.02.02.04</t>
  </si>
  <si>
    <t>Įgyvendinti miesto įvaizdžio rinkodaros strategijos gairių priemonių planą</t>
  </si>
  <si>
    <t>Įgyvendinta strategijos veiklų</t>
  </si>
  <si>
    <t>Įgyvendintos veiklos (17): viešųjų erdvių meno pleneras ,,Saulės pagrobimas“; tarptautinis dailės pleneras-simpoziumas „Saulės Šiauliai“; tęstinis menininkų rezidencijų projektas Sicilijoje (Italijoje); regioninė dainų šventė „Teka saulelė“; Lietuvos šimtmečio dainų šventėje „Kad giria žaliuotų“ dalyvavo Šiaulių m. delegacija; atlikti meninių akcentų Šiaulių miesto viešosiose erdvėse atnaujinimo darbai, pagamintos Šiaulių m. viešųjų erdvių puošybai skirtos trispalvės ir tautinės vėliavėlės; parengti ir publikuoti straipsniai apie Šiaulių miesto tapatybę, atlikti 6 Šiaulių turistinių leidinių rengimo, atnaujinimo ir spausdinimo darbai; Šiaulių miesto turizmo ištekliai ir naujienos pristatyti 4 tarptautinėse parodose, 8 miestų šventėse Lietuvoje ir Latvijoje; vykdytas Šiaulių miesto ir regiono turizmo išteklių pristatymas ir rinkodaros kampanijos: transliuotos 2 kelionių laidos („Lietuvos ryto TV“,  „Delfi TV“), suorganizuoti 2 informaciniai-pažintiniai turai tinklaraštininkams, publikuoti reportažai apie Šiaulių miesto lankytinas vietas Lietuvos turizmo portaluose, Baltijos kelionių tinklaraštyje; įsigyta reprezentacinė apranga; atnaujinti „Baltų kelio“ ekspozicijos edukaciniai eksponatai; pateikta paraiška „Šiauliai – Lietuvos kultūros sostinė 2026. Saulės žemė“.</t>
  </si>
  <si>
    <t>Lietuvos šimtmečio dainų šventėje „Kad giria žaliuotų“ dalyvavo per 1500 Šiaulių miesto delegacijos dalyvių, tai sudaro 47 kolektyvus. Dainų dienoje Kaune dalyvavo 3 Šiaulių m. kolektyvai (160 dalyvių), koncerte „Skambėkite kanklės“ dalyvavo 11 šiauliečių, Folkloro dienoje - 84, Teatro dienoje - 33, ansamblių vakare „Gyvybės medis - 108, koncerte „Vario audra“ - 138, Šokių dienoje - 512, Dainų dienoje - 700.  Dalyvių apgyvendinimo, nuvežimo ir parvežimo, maitinimo, vežiojimo Vilniuje į repeticijas ir kt. klausimus  sprendė koordinacinė komanda (8 komendantai, 44 kolektyvų lydintieji asmenys, 4 sveikatos specialistai).</t>
  </si>
  <si>
    <t>2024-06-01 Šiaulių miesto centrinio parko estradoje įvyko regioninė dainų šventė „Teka saulelė“. Programoje skambėjo 100-mečio mininčios Lietuvos dainų šventės „Kad giria žaliuotų“ Dainų dienos dainos ir pučiamųjų instrumentų orkestrų koncerto „Vario audra“ repertuaras. Regioninėje dainų šventėje iš viso dalyvavo 83 kolektyvai (2417 narių) iš visos Lietuvos. Iš jų: 60 chorų (1904 nariai), 18 pučiamųjų instrumentų orkestrų (453 nariai) ir 5 choreografinės grupės (60 šokėjų).  Šiaulių miesto centriniame parke veikė Lietuvos Dainų šventės istorinių fotografijų paroda.</t>
  </si>
  <si>
    <t>02.02.02.05</t>
  </si>
  <si>
    <t>Įgyvendinti projektą "Kultūros kelių tinklaveiką skatinant regioninę plėtrą"</t>
  </si>
  <si>
    <t>Įgyvendinta projekto veiklų</t>
  </si>
  <si>
    <t>02.02.02.06</t>
  </si>
  <si>
    <t>Įgyvendinti projektą "Viešojo sektoriaus specialistų gebėjimų stiprinimą, siekiant gerinti teikiamų paslaugų kokybę Šiaulių miesto savivaldybės ir Bauskės rajono savivaldybės turizmo institucijose"</t>
  </si>
  <si>
    <t>Įvykdytos projekto veiklos: suorganizuoti mokymai Šiauliuose „Šiaulių miesto tapatybė“, mokymai Bauskėje (Latvija) „Profesionalus svetingumas ir kliento patirties valdymas“, mokymai Šiauliuose „Viešojo sektoriaus paslaugų kokybės gerinimas“,  vykta į patirties mainų vizitą Latvijoje (Kuldyga, Ventspilis, Liepoja, Grobinia); suorganizuotas patirties mainų vizitas Lietuvoje (Telšiai, Kretinga, Palanga, Klaipėda, Gargždai); vykta į patirties mainų kelionę Lenkijoje (Gdanskas, Olštynas, Augustavas), dalyvauta mokymuose Bauskėje (Latvija),   parengtas ir publikuotas straipsnis apie Šiaulių miesto tapatybę „Lyžtelėti, pauostyti, paglostyti. Ir visa tai - apie miestą“, suorganizuotas partnerių susitikimas, parengta projekto atributika ir kt.</t>
  </si>
  <si>
    <t>02.02.02.07</t>
  </si>
  <si>
    <t>Įgyvendinti projektą „Didinti Lietuvos ir Lenkijos pasienio regiono patrauklumą, bendradarbiaujant per sieną ir tausiai naudojant baltų kultūros paveldą, sukuriant tarptautinį kultūros maršrutą „Baltų kelias“ (santr. Balts road LT-PL)“</t>
  </si>
  <si>
    <t>2024-10-03 Tarybos sprendimu įtraukta nauja priemonė. Turizmo informacijos centras laimėjo mažąjį projektą Interreg VI-A Lietuvos-Lenkijos programoje su partneriais iš Lietuvos (Vilkaviškio turizmo ir verslo informacijos centras) ir Lenkijos (Asociacijos Goldap bendruomenės fondas) „Didinti Lietuvos ir Lenkijos pasienio regiono patrauklumą, bendradarbiaujant per sieną ir tausiai naudojant baltų kultūros paveldą, sukuriant tarptautinį kultūros maršrutą „Baltų kelias“ (santr. Balts road LT-PL). Įgyvendinta 6 proc. projekto veiklų (įvyko parengiamieji projekto partnerių nuotoliniai susitikimai, pradėtas svetainės www.baltukelias.lt vertimas į lenkų kalbą).</t>
  </si>
  <si>
    <t>02.02.04.</t>
  </si>
  <si>
    <t>Vykdyti nekilnojamojo kultūros paveldo pažinimo sklaidą ir atgaivinimą</t>
  </si>
  <si>
    <t>02.02.04.02</t>
  </si>
  <si>
    <t>Organizuoti Europos paveldo dienų renginius</t>
  </si>
  <si>
    <t>Suorganizuotų Europos paveldo dienų renginių ciklų</t>
  </si>
  <si>
    <t>„Europos paveldo dienų“ renginiai organizuoti Šiaulių mieste rugsėjo 9-15 d. Iš viso įvyko 10 ekskursijų, įskaitant pažintinių objektų lankymus po Šiaulių miestą, supažindinimą su žinybinių muziejų (Teismų istorijos, Šiaulių geležinkelių muziejaus) veiklomis ir kt., vyko multimedijos „Šiaulių albumas: miesto istorija fotografijose“ peržiūros Šiaulių Fotografijos muziejuje.</t>
  </si>
  <si>
    <t>02.02.04.03</t>
  </si>
  <si>
    <t>Didinti religinio turizmo prieinamumą</t>
  </si>
  <si>
    <t>Įgyvendintų religinio turizmo skatinimo programų</t>
  </si>
  <si>
    <t>Įvykdytos veiklos: suorganizuoti 2 piligriminiai žygiai: Camino Lituano žygis „Lietuva eina“ ir Piligriminis žygis nuo Šiaulių Šv. apaštalų Petro ir Pauliaus katedros į Kryžių kalną („Malonių kelio“ maršruto Šiaulių atkarpa). Atlikti religinio turizmo maršruto ,,Malonių kelias" viešinimo darbai, parengtas ir išleistas leidinys „Malonių kelias“ (bendroms 4 savivaldybių veikloms) lenkų kalba. Suorganizuotas renginių ciklas „Bažnyčių naktys“ 4 savivaldybėse. Dalyvauta tarptautinėje turizmo parodoje „TT Warsaw“ Varšuvoje (Lenkija) 2024 m. lapkričio mėn.</t>
  </si>
  <si>
    <t>03.</t>
  </si>
  <si>
    <t>Aplinkos apsaugos programa</t>
  </si>
  <si>
    <t>03.01.</t>
  </si>
  <si>
    <t>Pagerinti aplinkos kokybę mieste, kurti darnaus vystymosi principais pagrįstą sveiką ir švarią gyvenamąją aplinką mieste</t>
  </si>
  <si>
    <t>Sutvarkytas komunalinių atliekų kiekis</t>
  </si>
  <si>
    <t>t</t>
  </si>
  <si>
    <t>03.01.01.</t>
  </si>
  <si>
    <t>Plėtoti ir tobulinti miesto komunalinių atliekų tvarkymo sistemą</t>
  </si>
  <si>
    <t>03.01.01.01</t>
  </si>
  <si>
    <t>Įgyvendinti komunalinių atliekų tvarkymą</t>
  </si>
  <si>
    <t>Sutvarkyta komunalinių atliekų</t>
  </si>
  <si>
    <t>Atliekos tvarkomos pagal faktiškai susidariusį kiekį</t>
  </si>
  <si>
    <t>03.01.01.01.05</t>
  </si>
  <si>
    <t>Administruoti vietinę rinkliavą už atliekų tvarkymą (ŠRATC)</t>
  </si>
  <si>
    <t>Surinkta rinkliavos</t>
  </si>
  <si>
    <t>03.01.01.01.06</t>
  </si>
  <si>
    <t>Surinkti komunalines atliekas iš atliekų turėtojų</t>
  </si>
  <si>
    <t>Surinkta komunalinių atliekų</t>
  </si>
  <si>
    <t>03.01.01.01.07</t>
  </si>
  <si>
    <t>Šalinti (apdoroti) komunalines atliekas</t>
  </si>
  <si>
    <t>Sutvarkyta komunalinių atliekų (pašalinta/apdorota)</t>
  </si>
  <si>
    <t>03.01.01.02</t>
  </si>
  <si>
    <t>Kompensuoti fiziniams asmenims asbesto turinčių gaminių atliekų šalinimą</t>
  </si>
  <si>
    <t>1.11.</t>
  </si>
  <si>
    <t>Kompensuota už asbesto gaminių šalinimą</t>
  </si>
  <si>
    <t>Asbesto turinčių gaminių atliekas individualių namų gyventojai ir visuomeninės paskirties pastatų savininkai (naudotojai) gali nemokamai sutvarkyti atliekas Šiaulių regiono nepavojingų atliekų sąvartyne. Surinkto kiekio sutvarkymo išlaidos 100% kompensuojamos.</t>
  </si>
  <si>
    <t>Surinkta asbesto</t>
  </si>
  <si>
    <t>03.01.01.03</t>
  </si>
  <si>
    <t>Įgyvendinti projektą „Komunalinių atliekų rūšiuojamojo surinkimo infrastruktūros plėtra Šiaulių regione"</t>
  </si>
  <si>
    <t>Baigta tvarkyti projekto dokumentacija ir finansiniai srautai</t>
  </si>
  <si>
    <t>Atlikti archeologiniai tyrimai</t>
  </si>
  <si>
    <t>03.01.01.04</t>
  </si>
  <si>
    <t>Įgyvendinti projektą  „Rūšiuojamuoju būdu surinktų maisto/virtuvės atliekų apdorojimo infrastruktūros sukūrimas Šiaulių regione"</t>
  </si>
  <si>
    <t>Įsigyta įranga</t>
  </si>
  <si>
    <t>kompl.</t>
  </si>
  <si>
    <t>Pastatytas MVA apdorojimo cechas ir įsigyta bei sumontuota reikalinga įranga (perdirbant MVA gaunama energetinę vertę turinti žaliava, iš kurios ateityje pastačius biometano gamyklą bus galima išgauti biometaną ir taip pilnai perdirbti MVA iki galutinio produkto). 2024 m. liepos 29 d. atidarytas MVA apdorojimo cechas.</t>
  </si>
  <si>
    <t>Įrengta priėmimo / laikymo zona</t>
  </si>
  <si>
    <t>03.01.02.</t>
  </si>
  <si>
    <t>Įgyvendinti želdynų ir želdinių apsaugos bei tvarkymo priemones</t>
  </si>
  <si>
    <t>03.01.02.01</t>
  </si>
  <si>
    <t>Parengti ir įgyvendinti želdynų pertvarkymo projektus, inventorizuoti miesto želdynus</t>
  </si>
  <si>
    <t>1.12.</t>
  </si>
  <si>
    <t>Parengta želdynų inventorizacijos informacinė sistema</t>
  </si>
  <si>
    <t>Parengti želdynų projektai ir atlikti darbai</t>
  </si>
  <si>
    <t>Arbora LT - Centrinio parko rododendrų sodinimas; želdinių ekspertizės paslaugos.</t>
  </si>
  <si>
    <t>03.01.02.03</t>
  </si>
  <si>
    <t>Vykdyti želdinių priežiūrą (tręšimas, genėjimas, kaštonų lapų tvarkymas) ir sodinti naujus želdinius prie miesto gatvių, parkuose ir skveruose</t>
  </si>
  <si>
    <t>Užtikrinta želdinių priežiūra (atžalų šalinimas, kelmų sutvarkymas, laistymas, tręšimas, kaštonų lapų surinkimas), pagal skirtą finansavimą</t>
  </si>
  <si>
    <t>2024 m 1 ketv. vykdyta pavasarinė želdinių priežiūra (genėjimas, tręšimas, sodinimas)</t>
  </si>
  <si>
    <t>Sunaikinta Sosnovskio barščių</t>
  </si>
  <si>
    <t>m2</t>
  </si>
  <si>
    <t>Pasodinta želdinių</t>
  </si>
  <si>
    <t>Nugenėta medžių</t>
  </si>
  <si>
    <t>Vandens telkinių pakrančių valymas nuo perteklinių vandens augalų</t>
  </si>
  <si>
    <t>03.01.03.</t>
  </si>
  <si>
    <t>Įgyvendinti aplinkos monitoringo, prevencines, aplinkos kokybės gerinimo priemones</t>
  </si>
  <si>
    <t>03.01.03.04</t>
  </si>
  <si>
    <t>Vykdyti lietaus nuotekų sistemos griovių tvarkymą</t>
  </si>
  <si>
    <t>Sutvarkyta lietaus sistemos griovių</t>
  </si>
  <si>
    <t>Atlikta griovių inventorizacija, kadastriniai matavimai įregistravimas NTR</t>
  </si>
  <si>
    <t>Pralaidų išvalymas</t>
  </si>
  <si>
    <t>Įrengta paviršinių lietaus nuotekų tiklų</t>
  </si>
  <si>
    <t>m</t>
  </si>
  <si>
    <t>03.01.03.08</t>
  </si>
  <si>
    <t>Užtikrinti Šiaulių municipalinės aplinkos tyrimų laboratorijos veiklą</t>
  </si>
  <si>
    <t>Finansuota įstaiga (Šiaulių municipalinė aplinkos tyrimų laboratorija)</t>
  </si>
  <si>
    <t>Parengta stebėsenos ataskaita</t>
  </si>
  <si>
    <t>03.01.03.09</t>
  </si>
  <si>
    <t>Įgyvendinti aplinkos oro kokybės valdymo programos priemones, vykdyti aplinkos kokybės stebėseną</t>
  </si>
  <si>
    <t>Išvalyta pavasarinio purvo (dėl pakeltosios taršos  - gatvių sąšlavos)</t>
  </si>
  <si>
    <t>Mažos taršos zonos įvertinimo galimybių studijos parengimas</t>
  </si>
  <si>
    <t>Žvyruotų gatvių apdorojimas dulkėtumą mažinančiomis medžiagomis</t>
  </si>
  <si>
    <t>Parengta požeminio vandens ir dirvožemio ataskaita (bei atlikti tyrimai stebimose Šiaulių miesto vietose)</t>
  </si>
  <si>
    <t>03.01.03.11</t>
  </si>
  <si>
    <t>Likviduoti pavojingus radinius ir ekologinių avarijų padarinius</t>
  </si>
  <si>
    <t>Likviduota radinių ir avarijų</t>
  </si>
  <si>
    <t>Per 2024 m. nebuvo pavojingų radinių ir avarijų.</t>
  </si>
  <si>
    <t>03.01.03.13</t>
  </si>
  <si>
    <t>Vykdyti gyvenamuosiuose rajonuose, viešosiose vietose šunų išvedžiojimo aikštelių, kačių šėrimo vietų ir kitos gyvūnų priežiūrai skirtos įrangos įrengimą, remontą ir sanitarinę priežiūrą</t>
  </si>
  <si>
    <t>Suremontuotų ir prižiūrėtų šunų vedžiojimo ir kačių šėrimo aikštelių</t>
  </si>
  <si>
    <t>03.01.07.</t>
  </si>
  <si>
    <t>Vykdyti visuomenės švietimo ir mokymo aplinkosaugos klausimais priemones</t>
  </si>
  <si>
    <t>03.01.07.02</t>
  </si>
  <si>
    <t>Remti nevyriausybinių organizacijų aplinkosauginio švietimo projektų įgyvendinimą</t>
  </si>
  <si>
    <t>Paremta projektų</t>
  </si>
  <si>
    <t>03.01.07.03</t>
  </si>
  <si>
    <t>Organizuoti aplinkosauginius renginius, vykdyti visuomenės švietimą ir informavimą, įsigyti aplinkosauginius informacinius ir kt. leidinius</t>
  </si>
  <si>
    <t>Įsigyta leidinių</t>
  </si>
  <si>
    <t>Organizuoti renginiai (Žemės diena, Europos judumo savaitė)</t>
  </si>
  <si>
    <t>Įgyvendinta visuomenės švietimo ir informavimo priemonių</t>
  </si>
  <si>
    <t>03.01.09.</t>
  </si>
  <si>
    <t>Skatinti atsinaujinančių išteklių Šiaulių mieste naudojimą</t>
  </si>
  <si>
    <t>03.01.09.02</t>
  </si>
  <si>
    <t>Įsigyti iš saulės parkų nutolusios saulės elektrinės dalį</t>
  </si>
  <si>
    <t>04.</t>
  </si>
  <si>
    <t>Miesto infrastruktūros objektų priežiūros, modernizavimo ir plėtros programa</t>
  </si>
  <si>
    <t>04.01.</t>
  </si>
  <si>
    <t>Modernizuoti miesto infrastruktūrą, užtikrinti  komunalinių paslaugų teikimą, infrastruktūros objektų  priežiūrą ir remontą</t>
  </si>
  <si>
    <t>Užtikrinti miesto priežiūrą, švarą, apšvietimą pagal skirtą finansavimą</t>
  </si>
  <si>
    <t>04.01.01.</t>
  </si>
  <si>
    <t xml:space="preserve">Vykdyti miesto infrastruktūros objektų priežiūrą, einamąjį remontą </t>
  </si>
  <si>
    <t>04.01.01.01</t>
  </si>
  <si>
    <t>Tvarkyti aplinką ir vykdyti infrastruktūros objektų priežiūrą ir remontą</t>
  </si>
  <si>
    <t>Sutvarkyta aplinka (žaliųjų plotų, gėlynų, medžių kirtimas, benamių gyvūnų priežiūra, kapinių priežiūra); užtikrinta gatvių apšvietimo ir reguliavimo, sanitarinių paslaugų, gatvių, šaligatvių, aikštelių, vaikų žaidimo aikštelių, takų priežiūros ir remonto paslaugos</t>
  </si>
  <si>
    <t>Užtikrinta miesto komunalinio ūkio priežiūra: žvyruotų gatvių greideriavimas; kelių dangos ženklinimas; eismo reguliavimo, saugių eismo priemonių diegimas, kryptinio apšvietimo įrengimas</t>
  </si>
  <si>
    <t>Įrengtų miesto autobusų stoginių</t>
  </si>
  <si>
    <t>04.01.01.01.01</t>
  </si>
  <si>
    <t>Lėšos, skirtos Medelyno seniūnijai tvarkyti</t>
  </si>
  <si>
    <t>Tvarkyti medžius (kirsti /genėti), pastatyti Kalėdų eglę, įsigyti smulkių priemonių seniūnijai</t>
  </si>
  <si>
    <t>Medelyno seniūnijos išlaidos</t>
  </si>
  <si>
    <t>04.01.01.01.02</t>
  </si>
  <si>
    <t>Lėšos, skirtos Rėkyvos seniūnijai tvarkyti</t>
  </si>
  <si>
    <t>Rėkyvos seniūnijos išlaidos</t>
  </si>
  <si>
    <t>04.01.01.01.07</t>
  </si>
  <si>
    <t>Valyti miesto gatves</t>
  </si>
  <si>
    <t>Prižiūrėti gatvių ploto</t>
  </si>
  <si>
    <t>Vykdyta gatvių priežiūra pagal esamas oro sąlygas</t>
  </si>
  <si>
    <t>Barstyti skaldos atsijų ir druskų mišiniu</t>
  </si>
  <si>
    <t>Vykdyta einamoji priežiūra pagal poreikį</t>
  </si>
  <si>
    <t>Barstyti šlapiųjų druskų mišiniu</t>
  </si>
  <si>
    <t>Prižiūrimas gatvių ilgis (vasarą)</t>
  </si>
  <si>
    <t>04.01.01.01.08</t>
  </si>
  <si>
    <t>Valyti šaligatvius</t>
  </si>
  <si>
    <t>Prižiūrėti šaligatvius, takus, laiptus, aikštes ir kitas viešąsias teritorijas</t>
  </si>
  <si>
    <t>Vykdyta priežiūra pagal faktinį poreikį</t>
  </si>
  <si>
    <t>Barstyti slidumą mažinančiomis priemonėmis žiemą</t>
  </si>
  <si>
    <t>Prižiūrėtų šiukšliadėžių</t>
  </si>
  <si>
    <t>04.01.01.01.10</t>
  </si>
  <si>
    <t>Tvarkyti žaliuosius plotus</t>
  </si>
  <si>
    <t>Prižiūrėtų žaliųjų plotų</t>
  </si>
  <si>
    <t>Per 2024 m. apmokėta už Centrinio parko, Lieporių parko ir Saulės laikrodžio aikštės priežiūrą.</t>
  </si>
  <si>
    <t>04.01.01.01.11</t>
  </si>
  <si>
    <t>Įrengti ir prižiūrėti gėlynus, tvarkyti medžius</t>
  </si>
  <si>
    <t>Prižiūrėtų gėlynų plotas</t>
  </si>
  <si>
    <t>Pasodinta gėlių</t>
  </si>
  <si>
    <t>Įrengta naujų gėlynų</t>
  </si>
  <si>
    <t>Ežero g.-Trakų g. po rekonstrukcijos išplėstas gėlynų ir dek. augalų plotas iki 176 m2 (buvo 25 m2), pasodinti nauji gėlynai ir dek. augalų plotai prie Lapės 220 m2 (pagal Jupojos techninę paramą), Centriniame parke pasodinti rododendrų, azalijų, kt. augalų plotai - 1500 m2.</t>
  </si>
  <si>
    <t>Nukirsta medžių</t>
  </si>
  <si>
    <t>04.01.01.01.12</t>
  </si>
  <si>
    <t>Tvarkyti miestą pagal sanitarinius reikalavimus</t>
  </si>
  <si>
    <t>Pastatyta konteinerių</t>
  </si>
  <si>
    <t>Apmokėta už atliekų išvežimą iš viešųjų erdvių.</t>
  </si>
  <si>
    <t>Nerūšiuotų atliekų išvežimas iš viešųjų erdvių</t>
  </si>
  <si>
    <t>04.01.01.01.13</t>
  </si>
  <si>
    <t>Gaudyti, laikyti benamius gyvūnus</t>
  </si>
  <si>
    <t>Pagauta bešeimininkių gyvūnų</t>
  </si>
  <si>
    <t>Atsiskaitoma pagal bešeimininkių gyvūnų gaudymo ir priežiūros sutartį.</t>
  </si>
  <si>
    <t>04.01.01.01.14</t>
  </si>
  <si>
    <t>Apšviesti miesto gatves</t>
  </si>
  <si>
    <t>Aptarnaujama šviesos taškų (šviestuvų, prožektorių)</t>
  </si>
  <si>
    <t>Apmokame UAB Šiaulių gatvių apšvietimas už miesto apšvietimo ir šviesoforų valdymo paslaugas.</t>
  </si>
  <si>
    <t>Valdoma šviesoforų</t>
  </si>
  <si>
    <t>Prižiūrima kelio ženklų</t>
  </si>
  <si>
    <t>04.01.01.01.15</t>
  </si>
  <si>
    <t>Apmokėti už elektros energiją (gatvių apšvietimui)</t>
  </si>
  <si>
    <t>Sunaudota elektros energijos miesto apšvietimui</t>
  </si>
  <si>
    <t>kw</t>
  </si>
  <si>
    <t>Apmokama UAB Šiaulių gatvių apšvietimas už faktines miesto apšvietimo elektros energijos sąnaudas.</t>
  </si>
  <si>
    <t>04.01.01.01.16</t>
  </si>
  <si>
    <t>Techniškai aptarnauti miesto renginius ir šventes</t>
  </si>
  <si>
    <t>Aptarnauta švenčių, renginių (WC statymas, laužų paruošimas ir kt.)</t>
  </si>
  <si>
    <t>04.01.01.01.17</t>
  </si>
  <si>
    <t>Eksploatuoti ir prižiūrėti miesto lietaus tinklus (už paviršines nuotekas)</t>
  </si>
  <si>
    <t>Apmokėta UAB ,,Šiaulių vandenys" už paviršines nuotekas</t>
  </si>
  <si>
    <t>m3</t>
  </si>
  <si>
    <t>04.01.01.01.18</t>
  </si>
  <si>
    <t>Apmokėti už vandenį iš kolonėlių</t>
  </si>
  <si>
    <t>04.01.01.01.19</t>
  </si>
  <si>
    <t>Prižiūrėti mokėjimo automatus (rinkliavos rinkimas)</t>
  </si>
  <si>
    <t>Prižiūrima mokėjimo parkomatų</t>
  </si>
  <si>
    <t>Apmokama už stovėjimo rinkliavos surinkimo paslaugą UAB Šiaulių gatvių apšvietimas</t>
  </si>
  <si>
    <t>Surinkta vietinės rinkliavos už parkavimą</t>
  </si>
  <si>
    <t>piniginė išraiška</t>
  </si>
  <si>
    <t>04.01.01.01.20</t>
  </si>
  <si>
    <t>Laidoti vienišus žmones</t>
  </si>
  <si>
    <t>Palaidota žmonių</t>
  </si>
  <si>
    <t>04.01.01.01.21</t>
  </si>
  <si>
    <t>Pervežti žuvusiųjų, mirusiųjų kūnus</t>
  </si>
  <si>
    <t>Pervežta žmonių palaikų</t>
  </si>
  <si>
    <t>Palaikų palaikyta valandų</t>
  </si>
  <si>
    <t>val.</t>
  </si>
  <si>
    <t>04.01.01.01.22</t>
  </si>
  <si>
    <t>Prižiūrėti vaikų žaidimų aikšteles</t>
  </si>
  <si>
    <t>Prižiūrima sertifikuotų vaikų žaidimų aikštelių</t>
  </si>
  <si>
    <t>Įrengta vaikų žaidimų aikštelė</t>
  </si>
  <si>
    <t>04.01.01.01.23</t>
  </si>
  <si>
    <t>Atlikti kitus smulkius ar nenumatytus darbus</t>
  </si>
  <si>
    <t>Įrengta stoginių keleiviams miesto stotelėse</t>
  </si>
  <si>
    <t>Pakeista naujais susidėvėjusių suoliukų</t>
  </si>
  <si>
    <t>Apmokame už stotelių priežiūrą, sulaužytų atitvarų remontą pagal poreikį.</t>
  </si>
  <si>
    <t>Perdažyta suoliukų</t>
  </si>
  <si>
    <t>04.01.01.01.24</t>
  </si>
  <si>
    <t>Remontuoti gatvių duobes</t>
  </si>
  <si>
    <t>Užtaisyta miesto gatvių duobių išdaužų vietose</t>
  </si>
  <si>
    <t>Tvarkytos avarinės duobės miesto gatvėse</t>
  </si>
  <si>
    <t>1.06.</t>
  </si>
  <si>
    <t>04.01.01.01.25</t>
  </si>
  <si>
    <t>Prižiūrėti gatves su žvyro danga  (lyginti ir naujomis medžiagomis užtaisyti dangos konstrukcijas)</t>
  </si>
  <si>
    <t>Prižiūrėti žvyruotas gatves (greideriavimas, užtaisymas naujomis medžiagomis išdaužų vietose)</t>
  </si>
  <si>
    <t>Prižiūrimų gatvių su žvyro danga ilgis</t>
  </si>
  <si>
    <t>km</t>
  </si>
  <si>
    <t>04.01.01.01.26</t>
  </si>
  <si>
    <t>Ženklinti kelio dangą</t>
  </si>
  <si>
    <t>Paženklinta gatvių su asfalto danga, pėsčiųjų perėjų, sankryžų</t>
  </si>
  <si>
    <t>04.01.01.01.27</t>
  </si>
  <si>
    <t>Įrengti eismo reguliavimo ir saugaus eismo priemones</t>
  </si>
  <si>
    <t>Įrengta kelio ženklų, atitvarų, signalinių stulpelių</t>
  </si>
  <si>
    <t>Įrengta saugumo kalnelių</t>
  </si>
  <si>
    <t>04.01.01.01.28</t>
  </si>
  <si>
    <t>Įrengti kryptinį apšvietimą</t>
  </si>
  <si>
    <t>Įrengta kryptinio apšvietimo atramų</t>
  </si>
  <si>
    <t>04.01.01.02</t>
  </si>
  <si>
    <t>Rekonstruoti Tilžės g. viaduką per geležinkelį</t>
  </si>
  <si>
    <t>04.01.01.05</t>
  </si>
  <si>
    <t>Remontuoti daugiabučių namų kiemų dangą</t>
  </si>
  <si>
    <t>Sutvarkyta, suremontuota danga daugiabučių namų kiemuose</t>
  </si>
  <si>
    <t>04.01.02.</t>
  </si>
  <si>
    <t>Vykdyti Šiaulių miesto kapinių infrastruktūros plėtrą</t>
  </si>
  <si>
    <t>04.01.02.02</t>
  </si>
  <si>
    <t>Vykdyti kapinių teritorijoje esančios infrastruktūros tvarkymą ir priežiūrą</t>
  </si>
  <si>
    <t>Užtikrinta visų miesto kapinių priežiūra (administravimas, vandens vežimas, atliekų išvežimas ir kt.)</t>
  </si>
  <si>
    <t>Atlikta Donelaičio kapinių centrinio kelio remonto darbų</t>
  </si>
  <si>
    <t>04.01.02.03</t>
  </si>
  <si>
    <t>Vykdyti kolumbariumo statybą ir priežiūrą</t>
  </si>
  <si>
    <t>Įgyvendinta kolumbariumo Donelaičio kapinėse statyba</t>
  </si>
  <si>
    <t>Užtikrinta Kolumbariumo priežiūra (kolumbariumo ir takų valymas)</t>
  </si>
  <si>
    <t>04.01.02.05</t>
  </si>
  <si>
    <t>„Įgyvendinti projektą „Šiaulių miesto kapinių valdymo informacinės sistemos sukūrimas, įdiegimas, kapinių duomenų skaitmenizavimas“</t>
  </si>
  <si>
    <t>Patobulinta leidimo laidoti išdavimo paslauga</t>
  </si>
  <si>
    <t>04.01.04.</t>
  </si>
  <si>
    <t>Sutvarkyti viešąsias erdves</t>
  </si>
  <si>
    <t>04.01.04.05</t>
  </si>
  <si>
    <t>Įgyvendinti projektą „Vilniaus gatvės pėsčiųjų bulvaro ir amfiteatro rekonstrukcija“</t>
  </si>
  <si>
    <t>1.08.</t>
  </si>
  <si>
    <t>04.01.04.06</t>
  </si>
  <si>
    <t>Įgyvendinti projektą „Talkšos ežero pakrantės plėtra“</t>
  </si>
  <si>
    <t>04.01.04.07</t>
  </si>
  <si>
    <t>Įgyvendinti projektą „Viešųjų erdvių ir gyvenamosios aplinkos gerinimas teritorijoje, besiribojančioje su Draugystės prospektu, Vytauto gatve, P. Višinskio gatve ir Dubijos gatve"</t>
  </si>
  <si>
    <t>04.01.04.08</t>
  </si>
  <si>
    <t>Įgyvendinti projektą „P. Višinskio gatvės viešųjų erdvių pritaikymas jaunimo poreikiams“</t>
  </si>
  <si>
    <t>04.01.04.09</t>
  </si>
  <si>
    <t>Įgyvendinti projektą „Šiaulių miesto centrinio ir Didždvario parkų bei jų prieigų sutvarkymas“</t>
  </si>
  <si>
    <t>04.01.04.10</t>
  </si>
  <si>
    <t>Įgyvendinti projektą „Aušros alėjos (nuo Žemaitės g. iki Varpo g.) viešųjų pastatų ir viešųjų erdvių prieigų rekonstrukcija"</t>
  </si>
  <si>
    <t>04.01.04.12</t>
  </si>
  <si>
    <t>Vykdyti vaizdo stebėjimo kamerų sistemos plėtrą</t>
  </si>
  <si>
    <t>Viešųjų vietų vaizdo stebėjimo kamerų, kurioms užtikrinamas funkcionalumo tęstinumas</t>
  </si>
  <si>
    <t>Pajungtų vaizdo stebėjimo kamerų</t>
  </si>
  <si>
    <t>Greičio matuoklio ir jo pakaitinių vietų, kurioms užtikrinamas funkcionalumas</t>
  </si>
  <si>
    <t>04.01.04.15</t>
  </si>
  <si>
    <t>Įgyvendinti projektą „Lieporių parko atgaivinimas ir pritaikymas bendruomenės poreikiams“</t>
  </si>
  <si>
    <t>Atlikta paviršinio vandens surinkimo ir drenažo įrengimo darbų</t>
  </si>
  <si>
    <t>04.01.04.16</t>
  </si>
  <si>
    <t>Įgyvendinti projektą „Tankiai apgyvendintos Šiaulių miesto urbanizuotos teritorijos atgaivinimas, žalinimas ir funkcionalumo didinimas: kvartalo, kurį riboja Rasos g. ir Aukštabalio g. konversija ir pritaikymas bendruomenės poreikiams“</t>
  </si>
  <si>
    <t>Atlikta rangos darbų</t>
  </si>
  <si>
    <t>2024-06-26 sudaryta rangos darbų pirkimo sutartis. Liepos mėnesį buvo atliekami darbo projekto parengimo darbai.</t>
  </si>
  <si>
    <t>04.02.</t>
  </si>
  <si>
    <t>Užtikrinti subalansuotą miesto susisiekimo sistemos vystymą</t>
  </si>
  <si>
    <t>Vykdyti miesto susisiekimo sistemos plėtrą</t>
  </si>
  <si>
    <t>04.02.01.</t>
  </si>
  <si>
    <t>Tobulinti miesto vidaus susisiekimo sistemą</t>
  </si>
  <si>
    <t>04.02.01.01</t>
  </si>
  <si>
    <t>Vykdyti naujų magistralinių gatvių suprojektavimo ir nutiesimo, susisiekimo komunikacijų įrengimo, rekonstravimo ir remonto darbus</t>
  </si>
  <si>
    <t>Atliktas išlyginamojo asfalto sluoksnio dengimas</t>
  </si>
  <si>
    <t>Atlikta miesto gatvių, šaligatvių ir takų remonto darbų pagal skirtą finansavimą</t>
  </si>
  <si>
    <t>04.02.01.01.01</t>
  </si>
  <si>
    <t>Atlikti gatvių tyrimus</t>
  </si>
  <si>
    <t>Atlikta gatvių laboratorinių tyrimų</t>
  </si>
  <si>
    <t>Atlikti reikalingi gatvių tyrimai pagal vykdomas rangos sutartis</t>
  </si>
  <si>
    <t>04.02.01.01.02</t>
  </si>
  <si>
    <t>Atlikti miesto gatvių kapitalinį remontą (esminio pagerinimo darbai)</t>
  </si>
  <si>
    <t>Žemaitės gatvės, nuo Dubijos iki Pakruojo g. ir Aušros al., nuo Žemaitės g. iki J. Basanavičiaus g., remontas</t>
  </si>
  <si>
    <t>Pramonės gatvės kapitalinio remonto darbai</t>
  </si>
  <si>
    <t>Pramonės g. remontas atliekamas.</t>
  </si>
  <si>
    <t>Ežero gatvės, nuo Dubijos iki Tilžės g. ir Tilžės g., nuo Ežero g. iki Aukštosios g., kapitalinis remontas</t>
  </si>
  <si>
    <t>Ežero g. remontas atliekamas, buvo pradėtas 2024 m. III ketv.</t>
  </si>
  <si>
    <t>Stoties g. remonto darbai</t>
  </si>
  <si>
    <t>Darbininkų g nuo Vilniaus g. iki Gumbinės g. remonto darbai</t>
  </si>
  <si>
    <t>Kviečių g. remonto darbai</t>
  </si>
  <si>
    <t>04.02.01.01.03</t>
  </si>
  <si>
    <t>Remontuoti, pakeisti šaligatvius, dviračių takų dangas</t>
  </si>
  <si>
    <t>Aikštelių mokamoje zonoje dangos atnaujinimas</t>
  </si>
  <si>
    <t>04.02.01.01.04</t>
  </si>
  <si>
    <t>Kainų indeksavimas</t>
  </si>
  <si>
    <t>04.02.01.06</t>
  </si>
  <si>
    <t>Įrengti viešojo susisiekimo infrastruktūrą, siekiant pagerinti sąlygas verslo plėtrai</t>
  </si>
  <si>
    <t>04.02.01.11</t>
  </si>
  <si>
    <t>Įgyvendinti projektą „Eismo saugumo priemonių įdiegimas Šiaulių mieste“</t>
  </si>
  <si>
    <t>Įdiegtos saugų eismą gerinančios priemonės</t>
  </si>
  <si>
    <t>04.02.01.11.02</t>
  </si>
  <si>
    <t>Įgyvendinti projektą „Eismo saugumo priemonių įdiegimas Šiaulių mieste II etapas“</t>
  </si>
  <si>
    <t>04.02.01.14</t>
  </si>
  <si>
    <t>Įgyvendinti projektą „Darnaus judumo priemonių diegimas Šiaulių mieste“</t>
  </si>
  <si>
    <t>Įrengta ir rekonstruota dviračių bei pėsčiųjų ir dviračių takų, dviračių eismo juostų</t>
  </si>
  <si>
    <t>04.02.01.14.01</t>
  </si>
  <si>
    <t>Įgyvendinti projektą „Darnaus judumo priemonių diegimas Šiaulių mieste I etapas“</t>
  </si>
  <si>
    <t>04.02.01.14.02</t>
  </si>
  <si>
    <t>Įgyvendinti projektą „Darnaus judumo priemonių įgyvendinimas II etapas"</t>
  </si>
  <si>
    <t>04.02.01.15</t>
  </si>
  <si>
    <t>Įgyvendinti projektą „Pakruojo gatvės rekonstrukcija“</t>
  </si>
  <si>
    <t>04.02.01.19</t>
  </si>
  <si>
    <t>Vykdyti keleivių vežimą vietinio (miesto) reguliaraus susisiekimo autobusų maršrutais</t>
  </si>
  <si>
    <t>Apmokėta už miesto keleivių vežimo vietiniais maršrutais (Nr. 2,8,14,20,24) paslaugas pagal kilometražą</t>
  </si>
  <si>
    <t>UAB Busturui apmokama už nuvažiuotus kilometrus teikiant miesto keleivių vežimo 2,8,14,20,24  - vietiniais maršrutais viešąsias paslaugas.</t>
  </si>
  <si>
    <t>04.02.02.</t>
  </si>
  <si>
    <t>Vykdyti Savivaldybės infrastruktūros plėtrą</t>
  </si>
  <si>
    <t>04.02.02.01</t>
  </si>
  <si>
    <t>Suprojektuoti, nutiesti, išasfaltuoti ar rekonstruoti žvyruotas gatves</t>
  </si>
  <si>
    <t>Išasfaltuota Pasvalio g.</t>
  </si>
  <si>
    <t>Išasfaltuota žvyruotų gatvių</t>
  </si>
  <si>
    <t>Išasfaltuota Smilgų gatvė</t>
  </si>
  <si>
    <t>Išasfaltuota Birštono g.</t>
  </si>
  <si>
    <t>Išasfaltuota Vingių g.</t>
  </si>
  <si>
    <t>Išasfaltuota Ąžuolyno g.</t>
  </si>
  <si>
    <t>Išasfaltuota Palangos g.</t>
  </si>
  <si>
    <t>Išasfaltuota Medelyno gatvė</t>
  </si>
  <si>
    <t>Išasfaltuota Alksnių gatvė</t>
  </si>
  <si>
    <t>04.02.02.02</t>
  </si>
  <si>
    <t>Įgyvendinti Savivaldybės infrastruktūros plėtros rėmimo programą</t>
  </si>
  <si>
    <t>Sukurta infrastruktūros objektų (pasirašyta savivaldybės infrastruktūros plėtros sutarčių)</t>
  </si>
  <si>
    <t>05.</t>
  </si>
  <si>
    <t>Miesto ekonominės plėtros programa</t>
  </si>
  <si>
    <t>05.01.</t>
  </si>
  <si>
    <t>Skatinti miesto ekonominę plėtrą sudarant palankias sąlygas verslo vystymuisi</t>
  </si>
  <si>
    <t>Užimtų gyventojų skaičiaus augimas</t>
  </si>
  <si>
    <t>Įsteigtų įmonių</t>
  </si>
  <si>
    <t>Materialinių investicijų augimas</t>
  </si>
  <si>
    <t>Tiesioginių užsienio investicijų (TUI) augimas</t>
  </si>
  <si>
    <t>05.01.02.</t>
  </si>
  <si>
    <t>Skatinti ir ugdyti verslumą</t>
  </si>
  <si>
    <t>05.01.02.01</t>
  </si>
  <si>
    <t>Skatinti smulkiojo ir vidutinio verslo subjektus</t>
  </si>
  <si>
    <t>Įgyvendintų skatinimo priemonių</t>
  </si>
  <si>
    <t>I ketv. gautos 4 paraiškos: 1 - dėl įmonės steigimo išlaidų kompensavimo; 1 - įrangos ir įrankių įsigijimo išlaidų kompensavimo; 2- mokymo išlaidų kompensavimo. Lėšos išmokėtos.
II ketv. 23 gautos verslo projektų konkurso paraiškos: 9 neatitiko reikalavimų; 14 skirta parama, sutartys bus pasirašomos. Gauta 10 kitų paraiškų: 4 - neatitiko reikalavimų; 3 - įrangos ir įrankių įsigijimo išlaidų kompensavimo; 1- mokymo išlaidų kompensavimo; 2 - rinkodaros priemonių įsigijimo kompensavimo. Lėšos išmokėtos.
III ketv. gauta 12 paraiškų iš jų  2 neatitiko reikalavimų;  10 skirta parama:  6 - įrangos ir įrankių įsigijimo išlaidų kompensavimo; 1- mokymo išlaidų kompensavimo; 3 - rinkodaros priemonių įsigijimo kompensavimo.  Sutartys bus pasirašytos, lėšos išmokėtos.
IV ketv. gautos 5 paraiškos viena iš jų neatitiko reikalavimų.  Parama skirta: 1 – dėl įmonės steigimo išlaidų kompensavimo; 3 – įrangos ir įrankių įsigijimo išlaidų kompensavimo.</t>
  </si>
  <si>
    <t>05.01.02.02</t>
  </si>
  <si>
    <t>Įgyvendinti verslo subjektų mokymo programas</t>
  </si>
  <si>
    <t>Surengtų mokymų</t>
  </si>
  <si>
    <t>I ketv. suorganizuoti 3 mokymai: „B2B proaktyvus pardavimas: nuo chaoso prie sistemos“ – 19 dalyvių; „Dirbtinio intelekto pagrindai ir praktikos“ – 27 dalyviai; "Gamybos verslas: dirbtinis intelektas ir skaitmeninė rinkodara – nuo ko pradėti?" - 8 dalyviai.
II ketv. suorganizuoti 3 mokymai: „Komunikacijos ir viešo kalbėjimo paskaita“ – 15 dalyvių;  „Darbo užmokesčio sistemos, grįstos pareigybių vertinimu, modeliavimas“ – 7 dalyviai;  „Dirbtinis intelektas: naudojimas, galimybės ir rizika finansuose“ – 29 dalyviai.
III ketv. suorganizuoti 2 mokymai: „Šaltų skambučių profesionalas“  – 25 dalyvių; „Pardavimų skaitmenizavimas: kaip išnaudoti IT pardavimų didinimui?“ – 16 dalyvių.
IV ketv. suorganizuoti 1 mokymai: "Komandinio darbo stiprinimas" - 15 dalyvių.</t>
  </si>
  <si>
    <t>Verslo sklaidos renginių</t>
  </si>
  <si>
    <t>I ketv. 1 renginys: ES parama verslui -  32 dalyviai.
II ketv. 2 renginiai:  „ES tvarumo reikalavimai: ką reikia žinoti verslui ir kaip pasiruošti pokyčiams?“ - 34 dalyviai; „Darbuotojų samda, jų perkvalifikavimas ar kita finansinė parama“ - 21 dalyvis.
III ketv. 1 renginys: „Kaip parduoti dalyvaujant viešuosiuose pirkimuose?“ -  17 dalyviai.
IV ketv. 2 renginiai: "Dizaino sparnai" pristatymas - 15 dalyvių; "Finansavimo galimybės verslui" - 36 dalyviai.</t>
  </si>
  <si>
    <t>Suteiktos konsultacijos</t>
  </si>
  <si>
    <t>I ketv. konsultuotų asmenų  - 6, įsteigtas 1  verslo subjektas (Amber linen, MB). Suteiktos grupinės konsultacijos: Skolų administravimas –14 dalyvių;  Parama saulės elektrinėms rengti – 5 dalyviai.
II ketv. konsultuotų asmenų - 5, įsteigtas 1 verslo subjektas (Twiski, MB). Suteiktos grupinės konsultacijos: „Aš akcininkas: ką reiškia būti bendrovės akcininku?“ – 16 dalyvių.
III ketv. vyko 4 renginiai: “Efektyvūs pardavimai - strategija vedanti į pergalę“ – 26 dalyviai; „EntreComp verslumas“ - 5 dalyviai; „Komunikacijos ir viešasis kalbėjimas – 25 dalyviai; 
„Apie ką dar nebuvo pagalvota apie finansus“– 11 dalyvių.
IV ketv. konsultuotų asmenų – 2; suteikta 1 grupinė konsultacija "Power BI įrankio valdymas" – 28 dalyviai;
Įsteigti 8 verslo subjektai (MB "Doida", MB "Lurgusta", UAB "Military outdoor", MB "Apskaitos namai", UAB "Magiškas žeidas", UAB "Goldusa", UAB "Kūrybos alėja", MB "Limontas").</t>
  </si>
  <si>
    <t>05.01.02.03</t>
  </si>
  <si>
    <t>Įgyvendinti jaunimo verslumo skatinimo programą</t>
  </si>
  <si>
    <t>Konsultuotų asmenų</t>
  </si>
  <si>
    <t>I ketv. suteikta grupinė konsultacija "Kaip efektyviai ir saugiai auginti verslą" - 13 dalyvių.
II ketv. suteikta grupinė konsultacija „Kas užtikrina stabilius pardavimus versle?“ - 26 dalyviai. Konsultuoti individualiai - 6  asmenys.
III ketv. konsultuoti individualiai - 7  asmenys.
IV ketv. suteikta grupinė konsultacija "Finansinių ataskaitų aktualijos ir mokesčių pokyčiai" - 14 dalyvių; konsultuoti individualiai - 2 asmenys. Įsteigti 2 verslo subjektai (MB "Orebai digital", MB "Nevartyk").</t>
  </si>
  <si>
    <t>Verslumo mokymo ir verslo informacinės sklaidos renginių</t>
  </si>
  <si>
    <t>I ketv. vyko renginys "Kaip naudoti DI rinkodaroje?" – 10 dalyvių.
II ketv. vyko 2 renginiai „Kaip naudoti DI rinkodaroje?“ – 210 dalyvių;  „Globalios pardavimų platformos. Galimybės ir mitai“ – 11 dalyvių.
III ketv. vyko 4 renginiai: “Efektyvūs pardavimai - strategija vedanti į pergalę“ – 26 dalyviai; „EntreComp verslumas“ - 5 dalyviai; „Komunikacijos ir viešasis kalbėjimas – 25 dalyviai; 
„Apie ką dar nebuvo pagalvota apie finansus“– 11 dalyvių.
IV ketv. vyko 2 mokymai: "Dirbtinis intelektas: praktiniai mokymai" - 23 dalyviai; "Asmeninis įvaizdis LinkedIn" - 23 dalyviai;
Suorganizuotas 5 renginių ciklas mokinių ir jaunimo ekonominių žinių, verslumo skatinimo, švietimo tema "Makeathon" - 112 dalyvių;
2 "Start up" verslo skatinimo renginiai: "Start up fair" - 5 dalyviai; "Kūrybiškumas - ateities verslo sėkmės variklis?" akceleravimo programos baigiamasis renginys (Plungė) - 27 dalyviai.</t>
  </si>
  <si>
    <t>05.01.02.04</t>
  </si>
  <si>
    <t>Įgyvendinti inkubavimo, konsultavimo, mentorystės ir tinklaveikos programų vystymą, skatinant pradedančiųjų smulkiojo ir vidutinio verslo subjektų kūrimąsi ir augimą</t>
  </si>
  <si>
    <t>Smulkiojo ir vidutinio verslo subjektų dalyvavusių projekte skaičius</t>
  </si>
  <si>
    <t>05.01.05.</t>
  </si>
  <si>
    <t>Skatinti investicijų pritraukimą</t>
  </si>
  <si>
    <t>05.01.05.01</t>
  </si>
  <si>
    <t>Parengti (atnaujinti) investicijų projektus</t>
  </si>
  <si>
    <t>Parengtų, atnaujintų investicijų projektų ir/ar kitų reikiamų dokumentų lėšų pritraukimui</t>
  </si>
  <si>
    <t>Atlikti 4 galutiniai mokėjimai už investicijų projektus parengtus 2024 metais, parengta 18 investicijų projektų, iš kurių pilnai atsiskaityta už 11, iš jų 7 galutiniai mokėjimai persikėlė į 2025 m. (galutiniai mokėjimai išmokami baigus vertinimo procedūras ir skyrus finansavimą). Parengta 1 gyvybingos (vienos) alternatyvos sąnaudų ir naudos analizės skaičiuoklė, 1 galimybių studija, suteikta 1 techninio ir technologinio konsultavimo paslauga, parengta 1 Latlit paraiška, atlikti 2 mokėjimai AB Šiaulių energija už daugiabučių IP rengimą ir tikslinimą.</t>
  </si>
  <si>
    <t>05.01.05.02</t>
  </si>
  <si>
    <t>Vystyti Šiaulių pramoninio  parko (ŠPP) ir Šiaulių laisvosios ekonominės zonos (Šiaulių LEZ) infrastruktūrą</t>
  </si>
  <si>
    <t>Išvalytų sklypų skaičius</t>
  </si>
  <si>
    <t>Vykdytos viešųjų pirkimų procedūros dėl sprogstamųjų medžiagų suradimo pramonės parko teritorijoje.
2024 m. IV ketv. vykdyta sprogmenų paieška sklypuose adresais: P. Motiekaičio g.11, Šiauliai ir Dubijos g. 187, Šiauliai. Nesprogusių sprogmenų nebuvo rasta, tačiau sklypai išvalyti nuo įvairių sprogmenų ir šaumenų liekanų.</t>
  </si>
  <si>
    <t>Įdiegtos geležinkelio saugumo priemonės</t>
  </si>
  <si>
    <t>Įsigyta krovos aikštelių veiklai reikalinga įranga</t>
  </si>
  <si>
    <t>Atliktas mokėjimas už 2023 m. suteiktas FIDIC inžinieriaus paslaugas atliekant krovos aikštelių įrengimo darbus.</t>
  </si>
  <si>
    <t>Įrengtas lietaus nuotekų nuvedimas į magistralinius tinklus</t>
  </si>
  <si>
    <t>Zoknių 110/10 KV transformatoriaus punkto plėtra</t>
  </si>
  <si>
    <t>Bendradarbiaujant su AB ,,LITGRID" ir AB ,,VIA Lietuva" ieškoma kitų alternatyvų elektros pajėgumams užtikrinti.</t>
  </si>
  <si>
    <t>05.01.05.02.01</t>
  </si>
  <si>
    <t>Įgyvendinti projektą „Šiaulių laisvosios ekonominės zonos infrastruktūros plėtra"</t>
  </si>
  <si>
    <t>05.01.05.02.02</t>
  </si>
  <si>
    <t>Gerinti investicinę aplinką Šiaulių pramoniniame parke</t>
  </si>
  <si>
    <t>05.01.05.02.04</t>
  </si>
  <si>
    <t>Įgyvendinti projektą „Investicinės aplinkos gerinimas Šiaulių laisvojoje ekonominėje zonoje ir jos prieigose"</t>
  </si>
  <si>
    <t>05.01.05.02.08</t>
  </si>
  <si>
    <t>Įgyvendinti projektą "Šiaulių laisvosios ekonominės zonos ir Šiaulių pramonės parko teritorijų prijungimas prie geležinkelio infrastruktūros"</t>
  </si>
  <si>
    <t>05.01.05.02.09</t>
  </si>
  <si>
    <t>Įgyvendinti projektą "Paviršinių nuotekų tinklų įrengimas LEZ teritorijoje"</t>
  </si>
  <si>
    <t>05.01.05.02.10</t>
  </si>
  <si>
    <t>05.01.05.03</t>
  </si>
  <si>
    <t>Vystyti Šiaulių Oro uosto veiklą</t>
  </si>
  <si>
    <t>Įvykdyti specialieji aviacijos saugumo užtikrinimo įsipareigojimai</t>
  </si>
  <si>
    <t>Įsigyta techninė įranga</t>
  </si>
  <si>
    <t>05.01.05.04</t>
  </si>
  <si>
    <t>Įrengti ekonominės veiklos centro infrastruktūrą</t>
  </si>
  <si>
    <t>Atlikti angarų griovimo darbai</t>
  </si>
  <si>
    <t>05.01.05.05</t>
  </si>
  <si>
    <t>Viešinti investicinę aplinką</t>
  </si>
  <si>
    <t>Suorganizuota renginių</t>
  </si>
  <si>
    <t>Dalyvauta parodose</t>
  </si>
  <si>
    <t>Sukurtų, publikuotų straipsnių, įrašų Lietuvos ir užsienio žiniasklaidos priemonėse</t>
  </si>
  <si>
    <t>Sukurtų edukacinių rinkodaros priemonių</t>
  </si>
  <si>
    <t>Įgyvendinta reklaminė kampanija "Šiauliai - karjeros miestas"</t>
  </si>
  <si>
    <t>Parengti miesto istorijų, interviu ciklai</t>
  </si>
  <si>
    <t>Asociacijų, kurių narė yra savivaldybė skaičius</t>
  </si>
  <si>
    <t>Įgyvendinta reklaminė kampanija jauniems specialistams „Rinkis Šiaulius!“</t>
  </si>
  <si>
    <t>Įgyvendinta Šiauliečio kortelės viešinimo kampanija</t>
  </si>
  <si>
    <t>05.01.05.06</t>
  </si>
  <si>
    <t>Pritraukti aukštos kvalifikacijos specialistus į Šiaulių miestą</t>
  </si>
  <si>
    <t>Atvykę dirbti aukštos kvalifikacijos specialistai, kurie gavo vienkartines išmokas</t>
  </si>
  <si>
    <t>06.</t>
  </si>
  <si>
    <t>Turto valdymo ir privatizavimo programa</t>
  </si>
  <si>
    <t>06.01.</t>
  </si>
  <si>
    <t>Užtikrinti Savivaldybei nuosavybės teise priklausančio turto efektyvų panaudojimą</t>
  </si>
  <si>
    <t>Teisiškai sutvarkytų ir  įregistruotų  nekilnojamojo turto sk.  nuo viso turimo turto, proc.</t>
  </si>
  <si>
    <t>06.01.01.</t>
  </si>
  <si>
    <t>Užtikrinti Savivaldybei nuosavybės teise priklausančio turto įregistravimą viešuosiuose registruose</t>
  </si>
  <si>
    <t>06.01.01.01</t>
  </si>
  <si>
    <t>Apmokėti pastatų, patalpų ir inžinerinių statinių vertinimo, kadastrinių matavimų atlikimo, teisines registracijos išlaidas</t>
  </si>
  <si>
    <t>Nekilnojamojo turto registre teisiškai įregistruotas turtas</t>
  </si>
  <si>
    <t>06.01.01.03</t>
  </si>
  <si>
    <t>Padengti Privatizavimo programos vykdymo išlaidas</t>
  </si>
  <si>
    <t>Padengtos išlaidos</t>
  </si>
  <si>
    <t>06.01.01.06</t>
  </si>
  <si>
    <t>Apmokėti turto, kuris neturi savininko (ar savininkas nežinomas) laikinosios priežiūros ir laikinųjų apsaugos priemonių įrengimo arba griovimo išlaidas</t>
  </si>
  <si>
    <t>Prižiūrimų ir nugriautų objektų</t>
  </si>
  <si>
    <t>06.01.02.</t>
  </si>
  <si>
    <t>Tinkamai eksploatuoti, renovuoti, remontuoti ir  saugoti Savivaldybei nuosavybės teise priklausantį turtą</t>
  </si>
  <si>
    <t>06.01.02.03</t>
  </si>
  <si>
    <t>Apmokėti Savivaldybei nuosavybės teise priklausančių pastatų, patalpų ir inžinerinių statinių  draudimo, apsaugos, remonto, komunalines ir kitas išlaidas</t>
  </si>
  <si>
    <t>Apmokėtos eksploatavimo išlaidos</t>
  </si>
  <si>
    <t>Apdraustų objektų</t>
  </si>
  <si>
    <t>Nebuvo poreikio. Pastatų ir patalpų draudimo sutartis sudaro nuomininkai / panaudininkai.</t>
  </si>
  <si>
    <t>06.01.02.12</t>
  </si>
  <si>
    <t>Apmokėti Savivaldybei nuosavybės teise priklausančio nekilnojamojo turto renovacijos išlaidas</t>
  </si>
  <si>
    <t>Apmokėtos renovacijos išlaidos</t>
  </si>
  <si>
    <t>06.01.02.14</t>
  </si>
  <si>
    <t>Užtikrinti skolų išieškojimą ir skolininkų iškeldinimą iš Savivaldybei nuosavybės teise priklausančių būstų</t>
  </si>
  <si>
    <t>Įvykdytų teismų sprendimų</t>
  </si>
  <si>
    <t>Per 2024 m. įsiteisėjusių teismo sprendimų buvo 6 vnt.</t>
  </si>
  <si>
    <t>06.01.02.16</t>
  </si>
  <si>
    <t>Apmokėti Savivaldybei nuosavybės teise priklausančių būstų eksploatavimo, administravimo, kaupimo, nuomos mokesčio surinkimo, komunalinių mokesčių, remonto išlaidas</t>
  </si>
  <si>
    <t>Apmokėtos išlaidos</t>
  </si>
  <si>
    <t>06.01.02.17</t>
  </si>
  <si>
    <t>Kompensuoti daugiabučių namų savininkų bendrijų steigimo išlaidas</t>
  </si>
  <si>
    <t>Padengtos steigimo išlaidos</t>
  </si>
  <si>
    <t>06.01.03.</t>
  </si>
  <si>
    <t>Sudaryti sąlygas įsigyti būstą pažeidžiamiausioms gyventojų grupėms</t>
  </si>
  <si>
    <t>06.01.03.05</t>
  </si>
  <si>
    <t>Didinti Savivaldybės būsto fondą</t>
  </si>
  <si>
    <t>Nupirktų būstų</t>
  </si>
  <si>
    <t>06.01.03.06</t>
  </si>
  <si>
    <t>Įgyvendinti projektą „Socialinio būsto fondo plėtra Šiaulių miesto savivaldybėje"</t>
  </si>
  <si>
    <t>Baigta tvarkyti projekto I etapo dokumentacija ir finansiniai srautai</t>
  </si>
  <si>
    <t>06.01.03.06.01</t>
  </si>
  <si>
    <t>Įgyvendinti projektą "Socialinio būsto fondo plėtra Šiaulių miesto savivaldybėje I etapas"</t>
  </si>
  <si>
    <t>06.01.03.06.02</t>
  </si>
  <si>
    <t>Įgyvendinti projektą „Socialinio būsto fondo plėtra Šiaulių miesto savivaldybėje, II etapas“</t>
  </si>
  <si>
    <t>06.01.03.07</t>
  </si>
  <si>
    <t>Kompensuoti būsto nuomos ar išperkamosios būsto nuomos mokesčių dalį</t>
  </si>
  <si>
    <t>1.04.</t>
  </si>
  <si>
    <t>06.01.03.09</t>
  </si>
  <si>
    <t>Kompensuoti jaunoms šeimoms dalį išlaidų įsigyjant pirmą būstą</t>
  </si>
  <si>
    <t>Šeimų gavusių kompensacijas</t>
  </si>
  <si>
    <t>07.</t>
  </si>
  <si>
    <t>Sporto plėtros programa</t>
  </si>
  <si>
    <t>07.01.</t>
  </si>
  <si>
    <t>Sudaryti sąlygas ugdyti sveiką ir fiziškai aktyvią miesto bendruomenę bei plėtoti aukšto meistriškumo sportininkų rengimo sistemą</t>
  </si>
  <si>
    <t>Sporto organizacijų Šiaulių mieste</t>
  </si>
  <si>
    <t>Prižiūrimų sporto bazių</t>
  </si>
  <si>
    <t>07.01.01.</t>
  </si>
  <si>
    <t>Plėtoti aukšto meistriškumo sportininkų rengimo sistemą</t>
  </si>
  <si>
    <t>07.01.01.02</t>
  </si>
  <si>
    <t>Vykdyti miesto, apskrities, šalies ir tarptautinius sporto renginius bei pasirengti ir dalyvauti šalies ir tarptautinėms varžyboms (Baltijos, Europos ir pasaulio čempionato varžyboms, kompleksiniams renginiams ir kt.)</t>
  </si>
  <si>
    <t>Šalies sporto šakų čempionatuose, taurės varžybose (suaugusiųjų amžiaus grupėje) laimėta 1–3 vietų</t>
  </si>
  <si>
    <t>Šiaulių miesto sporto įstaigų sportininkai laimėjo 285 Lietuvos suaugusiųjų čempionatų prizines vietas.</t>
  </si>
  <si>
    <t>Šalies sporto šakų čempionatuose, taurės varžybose (jaunučių, jaunių, jaunimo amžiaus grupėse) laimėta 1–3 vietų</t>
  </si>
  <si>
    <t>Šiaulių miesto sporto įstaigų sportininkai laimėjo 582 jaunučių, jaunių ir jaunimo Lietuvos čempionatų prizines vietas.</t>
  </si>
  <si>
    <t>Europos čempionate iškovotų 1–6 vietų ir pasaulio čempionate, taurės varžybose (suaugusiųjų amžiaus grupėje) iškovotų 1–10 vietų</t>
  </si>
  <si>
    <t>40 Šiaulių miesto sporto įstaigų sportininkų Europos čempionate iškovojo 1–6 vietas ir pasaulio čempionate, taurės varžybose (suaugusiųjų amžiaus grupėje) užėmė 1-10 vietas, dalyvavo olimpinėse ir paralimpinėse žaidynėse.</t>
  </si>
  <si>
    <t>Europos čempionate iškovotų 1–6 vietų ir pasaulio čempionate, taurės varžybose (jaunučių, jaunių, jaunimo amžiaus grupėse) iškovotų 1–10 vietų</t>
  </si>
  <si>
    <t>50 Šiaulių miesto sporto įstaigų sportininkai Europos čempionate iškovojo 1–6 vietas ir pasaulio čempionate, taurės varžybose (jaunučių, jaunių, jaunimo amžiaus grupėse) užėmė 1-10 vietas.</t>
  </si>
  <si>
    <t>Olimpinės ir paralimpinės rinktinės kandidatų bei perspektyvinės pamainos sportininkų</t>
  </si>
  <si>
    <t>48 sportininkai buvo Olimpinės / Paralimpinės rinktinės nariai bei perspektyvinės pamainos sportininkai.</t>
  </si>
  <si>
    <t>Rinktinės narių (suaugusiųjų amžiaus grupėje)</t>
  </si>
  <si>
    <t>139 Šiaulių miesto sporto įstaigų sportininkai buvo Lietuvos suaugusiųjų rinktinių nariais.</t>
  </si>
  <si>
    <t>Rinktinės narių (jaunučių, jaunių, jaunimo amžiaus grupėse)</t>
  </si>
  <si>
    <t>162 Šiaulių miesto sporto įstaigų sportininkas buvo Lietuvos jaunimo, jaunių ir jaunučių rinktinių nariais.</t>
  </si>
  <si>
    <t>Surengtų sporto renginių</t>
  </si>
  <si>
    <t>2024 m. Šiaulių miesto sporto įstaigos surengė 179 sporto renginius.</t>
  </si>
  <si>
    <t>07.01.01.06</t>
  </si>
  <si>
    <t>Pasirengti ir dalyvauti Lietuvos čempionato ir sporto šakų federacijų taurės, Baltijos lygos ir taurės laimėtojų, Europos taurės ir kitose oficialiose varžybose (žaidimų komandų jaunimo ir suaugusiųjų amžiaus grupė)</t>
  </si>
  <si>
    <t>Komandų, dalyvaujančių šalies varžybose</t>
  </si>
  <si>
    <t>Lietuvos čempionato varžybose laimėta 1–3 vietų</t>
  </si>
  <si>
    <t>Komandų, dalyvaujančių tarptautinėse varžybose</t>
  </si>
  <si>
    <t>Tarptautinėse varžybose laimėta 1–3 vietų</t>
  </si>
  <si>
    <t>Oficialiuose tarptautinėse varžybose laimėjo 1–3 vietą šios komandos:
1. Šiaulių regbio komanda „Baltrex-Šiauliai“ (Baltijos čempionatas R15) – 1 v.;
2. Šiaulių vyrų regbio komanda „Vairas-Kalvis-Jupoja-Šiauliai“ (Baltijos čempionatas R15) – 2 v.;
3. Šiaulių vyrų paplūdimio tinklinio komanda (EEVZA Zonal tour Tbilisi (09-29) – 2 v.
4. Šiaulių paplūdimio tinklinio komanda „Monika Paliukienė  – Ainė Paupelytė (BPT Ghallenge Recife) – 3 v.
5. Šiaulių moterų futbolo komanda „Gintra“ - 3 v.</t>
  </si>
  <si>
    <t>Rinktinės narių</t>
  </si>
  <si>
    <t>2024 m. Šiaulių miesto komandinio sporto Lietuvos rinktinėse buvo 143 sportininkai.</t>
  </si>
  <si>
    <t>07.01.01.08</t>
  </si>
  <si>
    <t>Įgyvendinti Šiaulių miesto reprezentacinių renginių programą</t>
  </si>
  <si>
    <t>Surengtų miestą reprezentuojančių sporto renginių</t>
  </si>
  <si>
    <t>Surengtų sporto renginių dalyvių</t>
  </si>
  <si>
    <t>8 surengtuose reprezentaciniuose sporto renginiuose dalyvavo 5 900 dalyviai (pagal reprezentacinių renginių vykdytojų pateiktus duomenis).</t>
  </si>
  <si>
    <t>07.01.01.09</t>
  </si>
  <si>
    <t>Skatinti sportininkus ir trenerius laimėjusius aukštas vietas tarptautinės varžybose</t>
  </si>
  <si>
    <t>Paskatinta aukšto meistriškumo sportininkų</t>
  </si>
  <si>
    <t>Premijos skirtos 104 olimpinių ir paralimpinių žaidynių, Europos ir pasaulio čempionatų prizininkams ir dalyviams.</t>
  </si>
  <si>
    <t>Premijų (stipendijų), skirtų sportininkams</t>
  </si>
  <si>
    <t>10 sportininkų mokamos stipendijos.</t>
  </si>
  <si>
    <t>Paskatinta aukšto meistriškumo sportininkų trenerių</t>
  </si>
  <si>
    <t>Premijos skirtos 33 olimpinių ir paralimpinių žaidynių, Europos ir pasaulio čempionatų prizininkų ir dalyvių treneriams.</t>
  </si>
  <si>
    <t>07.01.01.10</t>
  </si>
  <si>
    <t>Plėtoti sportininkų rengimo centrų veiklą</t>
  </si>
  <si>
    <t>Komandų, dalyvaujančių LFF A, I ir II lygos varžybose</t>
  </si>
  <si>
    <t>Futbolo plėtros programoje rengiamų sportininkų</t>
  </si>
  <si>
    <t>Komandų, dalyvaujančių Regiono lygos varžybose</t>
  </si>
  <si>
    <t>Krepšinio plėtros programoje rengiamų sportininkų</t>
  </si>
  <si>
    <t>07.01.01.10.01</t>
  </si>
  <si>
    <t>Įgyvendinti futbolo sporto šakos plėtros ir populiarinimo programą</t>
  </si>
  <si>
    <t>LFF A lygos varžybose dalyvavo vyrų futbolo komanda „FA ŠIAULIAI", o LFF I lygos varžybose dalyvavo FA „ŠIAULIAI B" ir moterų salės futbolo komanda „FA ŠIAULIAI".</t>
  </si>
  <si>
    <t>07.01.01.10.02</t>
  </si>
  <si>
    <t>Įgyvendinti krepšinio sporto šakos plėtros ir populiarinimo programą</t>
  </si>
  <si>
    <t>Regionų krepšinio lygos varžybose dalyvavo vyrų VšĮ krepšinio akademijos „Saulė" krepšinio komanda.</t>
  </si>
  <si>
    <t>07.01.01.11</t>
  </si>
  <si>
    <t>Plėtoti sporto įstaigų veiklą</t>
  </si>
  <si>
    <t>Sporto įstaigose rengiamų sportininkų</t>
  </si>
  <si>
    <t>Šiaulių miesto biudžetines sporto įstaigose buvo rengiami  2847 sportininkai.</t>
  </si>
  <si>
    <t>38 Lietuvos rinktinių nariai suaugusiųjų čempionatuose atstovavo Lietuvai lengvosios atletikos, imtynių, tekvondo, irklavimo, plaukimo ir kituose čempionatuose.</t>
  </si>
  <si>
    <t>172 Lietuvos rinktinių nariai suaugusiųjų čempionatuose atstovavo Lietuvai lengvosios atletikos, imtynių, tekvondo, irklavimo, plaukimo, buriavimo, šachmatų, šaškių, šiuolaikinės penkiakovės, baidarių kanojų irklavimo, futbolo, krepšinio ir kituose čempionatuose.</t>
  </si>
  <si>
    <t>07.01.01.12</t>
  </si>
  <si>
    <t>Kompensuoti tėvų atlyginimą už teikiamas sportinio rengimo paslaugas sporto įstaigose ir sportininkų rengimo centruose</t>
  </si>
  <si>
    <t>Atlyginimo lengvatą už teikiamas sportinio rengimo paslaugas gaunančių asmenų</t>
  </si>
  <si>
    <t>07.01.06.</t>
  </si>
  <si>
    <t>Modernizuoti ir sukurti sporto infrastruktūrą</t>
  </si>
  <si>
    <t>07.01.06.01</t>
  </si>
  <si>
    <t>Pastatyti sporto kompleksą (futbolo ir regbio maniežą)</t>
  </si>
  <si>
    <t>Atlikta darbų</t>
  </si>
  <si>
    <t>1.07.</t>
  </si>
  <si>
    <t>07.01.06.02</t>
  </si>
  <si>
    <t>Pastatyti irklavimo sporto bazę (Žvyro g. 34)</t>
  </si>
  <si>
    <t>07.01.06.03</t>
  </si>
  <si>
    <t>Suprojektuoti ir pastatyti buriavimo elingą prie Rėkyvos ežero</t>
  </si>
  <si>
    <t>07.01.06.06</t>
  </si>
  <si>
    <t>Suremontuoti Šiaulių m. stadioną ir pastatų patalpas (S. Daukanto g. 23)</t>
  </si>
  <si>
    <t>Atlikta laistymo sistemos įrengimo darbų</t>
  </si>
  <si>
    <t>Pakeista stadiono veja</t>
  </si>
  <si>
    <t>Pakeista E, F ir G tribūnų danga</t>
  </si>
  <si>
    <t>Perdažytos metalinės konstrukcijos, pakeistos atsparios drėgmei faneros, po kojomis įrengtos metalinės cinkuotos grotos, pakeistos kėdutės.</t>
  </si>
  <si>
    <t>Atlikta pastatų ir patalpų remonto darbų</t>
  </si>
  <si>
    <t>Sutvarkyti centrinio stadiono lauko tualetai, pakeisti pisuarai, boileriai. Įsigytos specialios vejapjovės, nudažytos administracinio pastato lauko konstrukcijos.</t>
  </si>
  <si>
    <t>07.01.06.08</t>
  </si>
  <si>
    <t>Futbolo aikščių rekonstrukcija (Kviečių g. 7A ir Kviečių g. 9)</t>
  </si>
  <si>
    <t>Atlikta apšvietimo sistemos modernizavimo darbų</t>
  </si>
  <si>
    <t>Atlikta dengtų tribūnų įrengimo darbų</t>
  </si>
  <si>
    <t>Įrengta 500 vietų tribūnų stoginė.</t>
  </si>
  <si>
    <t>07.01.06.09</t>
  </si>
  <si>
    <t>Didinti Šiaulių teniso akademijos pastato funkcionalumą</t>
  </si>
  <si>
    <t>Parengtas techninis projektas</t>
  </si>
  <si>
    <t>07.01.06.10</t>
  </si>
  <si>
    <t>Atlikti Šiaulių regbio ir žolės riedulio akademijos aikštyno rekonstrukciją</t>
  </si>
  <si>
    <t>Atlikti šie Regbio ir žolės riedulio akademijos aikštyno rekonstrukcijos darbai:
1. žalios vejos aikštelės praplatinimas ir vejos įrengimas (2617 kv. m);
2. paplūdimio regbio (futbolo, rankinio, tinklinio) aikštelės įrengimas su drenažu (888 kv. m);
2.1. paplūdimio futbolo vartų įsigijimas (2 vnt.);
2.2. paplūdimio rankinio vartų įsigijimas (2 vnt.);
2.3. paplūdimio tinklinio aikštelės įrangos įsigijimas (1 vnt.);
3. vaikų lauko žaidimų aikštelės įrengimas (225 kv. m);
3.1. vaikų žaidimo aikštelės įrengimai (8 vnt.)
4. lauko gimnastikos treniruoklių aikštelės įrengimas (300 kv. m);
4.1. lauko treniruoklių įsigijimas (6 vnt.);
5. aikštelės apšvietimo įrengimas (4 apšvt. stulp.);
6. automatizuotos vejos laistymo sistemos įrengimas;
7. kitų įrenginių įrengimas (suoliukas ir šiukšlių dėžė).</t>
  </si>
  <si>
    <t>Mobilių žiūrovų tribūnų įsigijimas</t>
  </si>
  <si>
    <t>07.01.07.</t>
  </si>
  <si>
    <t>Skatinti gyventojų fizinio aktyvumo veiklas</t>
  </si>
  <si>
    <t>07.01.07.01</t>
  </si>
  <si>
    <t>Sudaryti sąlygas didinti fizinio aktyvumo renginių bei veiklų prieinamumą ir aprėptį</t>
  </si>
  <si>
    <t>Vykdytose fizinio aktyvumo veiklose dalyvaujančių dalis nuo bendro Šiaulių miesto gyventojų skaičiaus</t>
  </si>
  <si>
    <t>Pagal Šiaulių miesto sporto organizacijų pateiktus statistinius duomenis fizinio aktyvumo veiklose dalyvavo 13 100 asmenys. 2024 metais bendras Šiaulių mieste gyventojų skaičius buvo 118 907.</t>
  </si>
  <si>
    <t>Finansuotų neįgaliųjų sporto klubų</t>
  </si>
  <si>
    <t>07.01.07.02</t>
  </si>
  <si>
    <t>Mokyti vaikus plaukti ir saugiai elgtis vandenyje ir prie vandens</t>
  </si>
  <si>
    <t>Išmokytų plaukti vaikų dalis nuo bendro 1–4 klasių mokinių skaičiaus Šiaulių miesto bendrojo ugdymo mokyklose</t>
  </si>
  <si>
    <t>Plaukimo įgūdžių pagrindai buvo suteikti 1170 mokiniams. Švietimo skyriaus duomenimis Šiaulių mieste mokėsi 4938 1-4 klasių mokiniai.</t>
  </si>
  <si>
    <t>08.</t>
  </si>
  <si>
    <t>Švietimo prieinamumo ir kokybės užtikrinimo programa</t>
  </si>
  <si>
    <t>08.01.</t>
  </si>
  <si>
    <t>Plėtoti inovatyvią švietimo sistemą, ugdančią aktyvią ir kūrybingą asmenybę</t>
  </si>
  <si>
    <t>Sudarytos sąlygos kokybiškam ugdymo procesui</t>
  </si>
  <si>
    <t>Užtikrinta švietimo pagalba kiekvienam mokiniui</t>
  </si>
  <si>
    <t>08.01.01.</t>
  </si>
  <si>
    <t>Gerinti švietimo prieinamumą ir pristatyti švietimo veiklą</t>
  </si>
  <si>
    <t>08.01.01.01</t>
  </si>
  <si>
    <t>Atstovauti miestui, pristatyti švietimo veiklą, organizuoti renginius</t>
  </si>
  <si>
    <t>Tradicinių mokytojų ir mokinių renginių</t>
  </si>
  <si>
    <t>Įvyko keturi tradiciniai miesto mokytojų ir mokinių renginiai: ,,Metų geriausieji“, Mokslo žinių šventė, ,,Metų mokytojas“ ir Kalėdinis švietimo įstaigų vadovų vakaras.</t>
  </si>
  <si>
    <t>Apdovanotų olimpiadų nugalėtojų</t>
  </si>
  <si>
    <t>74 mokiniams, kurie nugalėjo 2023–2024 m. m. dalykinių Šiaulių miesto mokinių olimpiadose, konkursuose,  šalies etapuose, buvo įteiktos Šiaulių miesto savivaldybės premijos „Metų mokinys“.</t>
  </si>
  <si>
    <t>Įteikta premijų ,,Metų mokytojas“</t>
  </si>
  <si>
    <t>Vieną ir daugiau 100 balų įvertinimą gavusių mokinių</t>
  </si>
  <si>
    <t>Švietimo lyderystės ir pedagogų pritraukimo programos dalyvių</t>
  </si>
  <si>
    <t>Pirmoko krepšelį gavusių mokinių</t>
  </si>
  <si>
    <t>Neformaliojo švietimo mokyklų, kuriose atliktas išorės vertinimas</t>
  </si>
  <si>
    <t>Atliktas Menų mokyklos išorės vertinimas.</t>
  </si>
  <si>
    <t>Šiaulių miestą atstovavusių asmenų nuvežimas į respublikinius renginius</t>
  </si>
  <si>
    <t>Apmokėtos Šiaulių regiono dainų ir šokių šventės „Skambantis gyvybės medis“ dalyvių pavėžėjimo sąskaitos.</t>
  </si>
  <si>
    <t>08.01.01.02</t>
  </si>
  <si>
    <t>Užtikrinti skaitmeninę plėtrą bendrojo ugdymo mokyklose</t>
  </si>
  <si>
    <t>Sukurtos skaitmeninės mokymosi aplinkos, naudojamos skaitmeninės mokymo priemonės mokyklose</t>
  </si>
  <si>
    <t>08.01.01.03</t>
  </si>
  <si>
    <t>Užtikrinti švietimo elektroninės apskaitos ir registracijos sistemų funkcionavimą</t>
  </si>
  <si>
    <t>Veikianti priėmimo į bendrojo ugdymo mokyklas sistema</t>
  </si>
  <si>
    <t>Veikianti priėmimo į ikimokyklinio ugdymo įstaigas sistema</t>
  </si>
  <si>
    <t>Veikianti SKU modelio apskaitos sistema</t>
  </si>
  <si>
    <t>Veikianti elektroninio mokinio pažymėjimo sistema</t>
  </si>
  <si>
    <t>08.01.01.05</t>
  </si>
  <si>
    <t>Vykdyti Šiaulių miesto savivaldybės, jos teritorijoje veikiančių aukštųjų mokyklų, Šiaulių technologijų mokymo centro, verslo įmonių ir švietimo įstaigų bendradarbiavimo programas</t>
  </si>
  <si>
    <t>STEAM ir STEAM JUNIOR programos grupių</t>
  </si>
  <si>
    <t>INOSTART programų</t>
  </si>
  <si>
    <t>Pasirašytos sutartys ŠVK INOSTART programų įgyvendinimui.</t>
  </si>
  <si>
    <t>Inžinerijos ir informatikos mokslų krypties studijų Šiaulių mieste parama kviestiniams dėstytojams, skatinamųjų stipendijų</t>
  </si>
  <si>
    <t>Pasirašytos dvi sutartys su Šiaulių valstybine kolegija kviestiniams dėstytojams. Vieno kviestinio dėstytojo vizitas įgyvendintas.</t>
  </si>
  <si>
    <t>Pritaikytų erdvių integruotam gamtos mokslų ugdymui ir Šiaulių miesto bendruomenės švietimui programų</t>
  </si>
  <si>
    <t>Viešųjų ryšių akcijos „Šiauliai – sėkmingos karjeros miestas“ priemonių</t>
  </si>
  <si>
    <t>Įgyvendintas ,,Šiauliai - sėkmingos karjeros miestas" priemonių planas: STEAM konferencija ikimokyklinio ugdymo pedagogams, Robotikos varžybos ir konferencija, ,,Šiauliai - karjeros miestas“ viešinimas (reklama lauko ekranuose ir plakatai).</t>
  </si>
  <si>
    <t>Studentų, kuriems skirta studijų parama</t>
  </si>
  <si>
    <t>Studijų parama skirta 22 naujiems studentams, iš viso studijų parama iki rugsėjo mėnesio skirta 40 studentų, nuo rugsėjo mėn. 62 studentams.</t>
  </si>
  <si>
    <t>STEAM renginių ir varžybų</t>
  </si>
  <si>
    <t>Įvyko STEAM konferencija ikimokyklinio ugdymo pedagogams, Robotikos varžybos ir konferencija.</t>
  </si>
  <si>
    <t>Dalyvavusių įgyvendintant ankstyvojo profesinio informavimo programą "OPA" pradinių klasių mokinių</t>
  </si>
  <si>
    <t>Įgyvendinta pradinių klasių mokinių profesinio orientavimo programa ,,Opa“. Įvyko 115 užsiėmimų, juose dalyvavo 2474 mokiniai.</t>
  </si>
  <si>
    <t>Dalyvavusių įgyvendinant technologijų pamokų programą ŠTMC mokinių</t>
  </si>
  <si>
    <t>Įgyvendinta Technologijų pamokų organizavimo programa. Vyko 83 užsiėmimai, juose dalyvavo 1167 mokiniai.</t>
  </si>
  <si>
    <t>Įgyvendintų aukštųjų mokyklų bendradarbiavimo programų</t>
  </si>
  <si>
    <t>08.01.01.06</t>
  </si>
  <si>
    <t>Vykdyti suaugusiųjų neformaliojo švietimo programas</t>
  </si>
  <si>
    <t>Įgyvendinamų programų</t>
  </si>
  <si>
    <t>Įgyvendinta 11  programų, kuriose dalyvavo 161 asmuo.</t>
  </si>
  <si>
    <t>08.01.01.07</t>
  </si>
  <si>
    <t>Užtikrinti Šiaulių miesto reprezentacinių renginių organizavimą</t>
  </si>
  <si>
    <t>Suorganizuotų reprezentacinių renginių</t>
  </si>
  <si>
    <t>Įvyko krikščioniškų šeimų šventė, Lengvosios atletikos ir sveikatingumo centro organizuotas renginys „Runway Run“, Kultūros centro renginys ,,Aušrinė žvaigždė“, S. Sondeckio menų gimnazijos organizuotas smuikininkų festivalis, Šiaulių prekybos, pramonės ir amatų rūmų organizuotas švietimo, mokslo ir verslo partnerystės renginių ciklas „Šiauliai SMART“ ir Šiaulių valstybinės kolegijos galimybių festivalis ,,Tavo PIN kodas“.</t>
  </si>
  <si>
    <t>08.01.03.</t>
  </si>
  <si>
    <t>Sudaryti sąlygas kokybiškam ugdymo procesui</t>
  </si>
  <si>
    <t>08.01.03.01</t>
  </si>
  <si>
    <t>Užtikrinti švietimo įstaigų veiklą (ML 98% + SB)</t>
  </si>
  <si>
    <t>Bendrojo ugdymo mokyklų</t>
  </si>
  <si>
    <t>Ugdymui ir ugdymo aplinkai skirtų lėšų įsisavinimas bendrojo ugdymo mokyklose.</t>
  </si>
  <si>
    <t>Miesto bendrojo ugdymo mokyklose mokinių</t>
  </si>
  <si>
    <t>Veikiantis Švietimo centras</t>
  </si>
  <si>
    <t>Suformatuotų, atspausdintų ir išduotų naujų elektroninių mokinio pažymėjimų</t>
  </si>
  <si>
    <t>Tarnyba, teikianti pedagoginę psichologinę pagalbą vaikams ir mokiniams</t>
  </si>
  <si>
    <t>Įstaigų, kuriose įsteigti karjeros specialisto etatai</t>
  </si>
  <si>
    <t>Vidutiniškai vienam mokiniui tenkantis plotas</t>
  </si>
  <si>
    <t>1.03.</t>
  </si>
  <si>
    <t>Mokinių, dalyvaujančių ,,Kultūros krepšelio“ edukaciniuose užsiėmimuose Šiaulių regiono muziejuose ir kitose kultūros įstaigose</t>
  </si>
  <si>
    <t>08.01.03.02</t>
  </si>
  <si>
    <t>Tenkinti mokymo reikmes (ML  2% )</t>
  </si>
  <si>
    <t>Ikimokyklinio ir bendrojo ugdymo mokyklų, kuriose tenkinamos ugdymo reikmės</t>
  </si>
  <si>
    <t>Mokyklų, įdiegusių socialinių kompetencijų ugdymo modelį</t>
  </si>
  <si>
    <t>08.01.03.02.01</t>
  </si>
  <si>
    <t>Organizuoti ir vykdyti mokymosi pasiekimų patikrinimą (ML 2%)</t>
  </si>
  <si>
    <t>Egzaminų vykdytojų ir vertintojų</t>
  </si>
  <si>
    <t>2024 m. funkcijas egzaminų metu vykdė:
64 administratoriai, 73 vyresnieji vykdytojai, 599 vykdytojai, 18 vertinimo komisijų pirmininkų, 58 vertintojai, 19 darbo vadovų.</t>
  </si>
  <si>
    <t>08.01.03.02.02</t>
  </si>
  <si>
    <t>Užtikrinti ugdymo finansavimo poreikių skirtumo sumažimą (ML 2%)</t>
  </si>
  <si>
    <t>Ikimokyklinio ir bendrojo ugdymo mokyklų, kuriose mažinami ugdymo finansavimo poreikių skirtumai</t>
  </si>
  <si>
    <t>Skiriamos lėšos pedagoginių darbuotojų pareiginės algos pastoviosios dalies koeficientų skirtumams mokyklose išlyginti, ikimokyklinio, priešmokyklinio ir bendrojo ugdymo kokybei ir prieinamumui užtikrinti (tarp jų ir mokyti namuose), ikimokyklinio ir priešmokyklinio ugdymo formų įvairovei diegti.</t>
  </si>
  <si>
    <t>08.01.03.03</t>
  </si>
  <si>
    <t>Organizuoti mokinių vežimą</t>
  </si>
  <si>
    <t>Mokinių, kuriems kompensuojamas važiavimas į mokyklą</t>
  </si>
  <si>
    <t>Vadovaujantis transporto lengvatų įstatymu, kompensuojamos ne Šiaulių miesto savivaldybės teritorijoje gyvenančių mokinių išlaidos už važiavimą į (iš) mokyklą.</t>
  </si>
  <si>
    <t>08.01.03.04</t>
  </si>
  <si>
    <t>Užtikrinti viešųjų įstaigų, įgyvendinančių bendrąsias ir specialiąsias ugdymo programas bei nevalstybinių tradicinių religinių bendruomenių ir bendrijų mokyklų veiklą (ML 98 % + SB)</t>
  </si>
  <si>
    <t>VšĮ ugdymo įstaigų (,,Smalsieji pabiručiai“ ir Šiaulių jėzuitų mokykla)</t>
  </si>
  <si>
    <t>Nevalstybinių tradicinių religinių bendruomenių ir bendrijų mokyklų</t>
  </si>
  <si>
    <t>08.01.03.04.01</t>
  </si>
  <si>
    <t>Finansuoti VšĮ Šiaulių jėzuitų mokyklą</t>
  </si>
  <si>
    <t>Viešųjų įstaigų</t>
  </si>
  <si>
    <t>08.01.03.04.02</t>
  </si>
  <si>
    <t>Finansuoti VšĮ „Smalsieji pabiručiai“</t>
  </si>
  <si>
    <t>08.01.03.04.03</t>
  </si>
  <si>
    <t>Finansuoti nevalstybines tradicinių religinių bendruomenių ir bendrijų mokyklas</t>
  </si>
  <si>
    <t>08.01.03.04.04</t>
  </si>
  <si>
    <t>Finansuoti VšĮ Valdorfo iniciatyvos mokyklą</t>
  </si>
  <si>
    <t>08.01.03.04.05</t>
  </si>
  <si>
    <t>Finansuoti UAB ,,Baltijos licėjų“</t>
  </si>
  <si>
    <t>08.01.03.06</t>
  </si>
  <si>
    <t>Vykdyti neformaliojo vaikų švietimo programas</t>
  </si>
  <si>
    <t>Neformaliojo vaikų švietimo mokyklų</t>
  </si>
  <si>
    <t>Vaikų, lankančių neformaliojo vaikų švietimo mokyklas</t>
  </si>
  <si>
    <t>FŠPU dalyvaujančių 1-12 klasių mokinių</t>
  </si>
  <si>
    <t>08.01.03.07</t>
  </si>
  <si>
    <t>Užtikrinti neformaliojo vaikų švietimo teikėjų programų vykdymą (ŠMSM - 15 Eur/mėn.)</t>
  </si>
  <si>
    <t>Neformaliojo vaikų švietimo programų</t>
  </si>
  <si>
    <t>Vykdytos 124 neformaliojo vaikų švietimo programos. Užimta apie 3400 vaikų, iš jų 450 vaikai su specialiaisiais ugdymosi poreikiais.</t>
  </si>
  <si>
    <t>Neformaliojo vaikų švietimo teikėjų</t>
  </si>
  <si>
    <t>Nevalstybinių švietimo įstaigų ir laisvųjų mokytojų įgyvendinamų neformaliojo vaikų švietimo programas lankančių vaikų</t>
  </si>
  <si>
    <t>08.01.03.08</t>
  </si>
  <si>
    <t>Kompensuoti tėvų atlyginimą už neformalųjį vaikų švietimą savivaldybės įstaigose</t>
  </si>
  <si>
    <t>Atlyginimo lengvatą už neformalųjį vaikų švietimą  gaunančių vaikų</t>
  </si>
  <si>
    <t>08.01.03.09</t>
  </si>
  <si>
    <t>Užtikrinti ikimokyklinį ir priešmokyklinį ugdymą</t>
  </si>
  <si>
    <t>Ikimokyklinio ugdymo įstaigų</t>
  </si>
  <si>
    <t>Pagal ikimokyklinę programą ugdomų vaikų</t>
  </si>
  <si>
    <t>Mokyklų ikimokyklinio ugdymo skyrių</t>
  </si>
  <si>
    <t>08.01.03.10</t>
  </si>
  <si>
    <t>Kompensuoti tėvų atlyginimą už vaiko išlaikymą įstaigoje</t>
  </si>
  <si>
    <t>Ikimokyklinio ugdymo įstaigose lengvatas gaunančių vaikų</t>
  </si>
  <si>
    <t>08.01.03.11</t>
  </si>
  <si>
    <t>Užtikrinti ikimokyklinio ugdymo programų įgyvendinimą Šiaulių miesto nevalstybinėse švietimo įstaigose (70 Eur/mėn.)</t>
  </si>
  <si>
    <t>Nevalstybines švietimo įstaigas, įgyvendinančias ikimokyklinio ugdymo programas, lankančių ugdytinių</t>
  </si>
  <si>
    <t>Finansuojamos ikimokyklinio ugdymo programos, kurias įgyvendina Šiaulių miesto nevalstybinės švietimo įstaigos.</t>
  </si>
  <si>
    <t>08.01.03.12</t>
  </si>
  <si>
    <t>Finansuoti ikimokyklinio ir priešmokyklinio ugdymo programas vykdančias viešąsias įstaigas</t>
  </si>
  <si>
    <t>08.01.03.12.01</t>
  </si>
  <si>
    <t>Finansuoti VšĮ „Garso servisas“</t>
  </si>
  <si>
    <t>08.01.03.12.02</t>
  </si>
  <si>
    <t>Finansuoti VšĮ „Mažieji šnekoriai“</t>
  </si>
  <si>
    <t>08.01.03.12.03</t>
  </si>
  <si>
    <t>Finansuoti VšĮ „Mūsų kiemelis“</t>
  </si>
  <si>
    <t>08.01.03.12.04</t>
  </si>
  <si>
    <t>Finansuoti VšĮ Šiaulių Valdorfo darželio-mokyklos bendruomenė</t>
  </si>
  <si>
    <t>08.01.03.12.05</t>
  </si>
  <si>
    <t>Finansuoti VšĮ „Kiškių miškas“</t>
  </si>
  <si>
    <t>08.01.03.13</t>
  </si>
  <si>
    <t>Įgyvendinti vaikų ir jaunimo vasaros užimtumo programas</t>
  </si>
  <si>
    <t>Vasaros užimtumo programose dalyvaujančių vaikų</t>
  </si>
  <si>
    <t>Įgyvendinta 30 stovyklų: 10 dieninių, 1- socialiai remtinų nuo karo pabėgusių ukrainiečių vaikų stovykla, 19 - stacionarių/turistinių stovyklų.  Dalyvių skaičius - 1160, iš jų 21  - diasporos vaikai.</t>
  </si>
  <si>
    <t>08.01.03.14</t>
  </si>
  <si>
    <t>Švietimo pagalbos užtikrinimas švietimo įstaigose</t>
  </si>
  <si>
    <t>Specialiųjų ugdymosi poreikių turinčių mokinių, kuriems teikiama švietimo pagalba</t>
  </si>
  <si>
    <t>Lėšos skiriamos švietimo pagalbos specialisto pareigybei išlaikyti mokykloms, kurioms nepakanka mokymo lėšų skiriamų iš valstybės biudžeto.</t>
  </si>
  <si>
    <t>08.01.03.15</t>
  </si>
  <si>
    <t>Užtikrinti profesinio orientavimo paslaugų teikimą Šiaulių miesto bendrojo ugdymo mokyklose</t>
  </si>
  <si>
    <t>Mokyklų, kuriose dirba karjeros specialistai</t>
  </si>
  <si>
    <t>Karjeros specialistų etatų mokyklose</t>
  </si>
  <si>
    <t>08.01.03.16</t>
  </si>
  <si>
    <t>Aprūpinti Šiaulių miesto bendrojo ugdymo mokyklas mokymosi priemonėmis</t>
  </si>
  <si>
    <t>Mokyklų , kurioms skirtos lėšos priemonėms  įsigyti</t>
  </si>
  <si>
    <t>08.01.03.17</t>
  </si>
  <si>
    <t>„Įgyvendinti projektą „Atvirų klasių sukūrimas Šiaulių Vinco Kudirkos progimnazijoje“</t>
  </si>
  <si>
    <t>Mokytojai dirbantys su mokiniais turinčiais didelių specialių ugdymosi poreikių</t>
  </si>
  <si>
    <t>08.01.03.18</t>
  </si>
  <si>
    <t>Įgyvendinti projektą „Švietimo įstaigų vadovų mentorių rengimas“</t>
  </si>
  <si>
    <t>Asmenų, dalyvavusių projekte skaičius</t>
  </si>
  <si>
    <t>4 vadovai iš Lieporių gimnazijos ir Gegužių progimnazijos dalyvavo 7 dienų trukmės lyderystės mokymuose Slovėnijoje. Parengtas 1 metodinis leidinys lyderystės tema. Suorganizuoti 3 projekto sklaidos renginiai. Parengtos 2 mokyklų mentorystės programos.</t>
  </si>
  <si>
    <t>Švietimo įstaigų, konsorciumo narių, dalyvavusių projekte</t>
  </si>
  <si>
    <t>Mokymų dienų</t>
  </si>
  <si>
    <t>08.01.03.19</t>
  </si>
  <si>
    <t>Įgyvendinti projektą „Ankstyvojo ugdymo užtikrinimas vaikams iš socialinę riziką patiriančių šeimų“</t>
  </si>
  <si>
    <t>Į ikimokyklinį ugdymą įtrauktų vaikų iš socialinę riziką patiriančių šeimų</t>
  </si>
  <si>
    <t>Veikla pradėta gruodžio mėn. su viena grupe, kurioje gruodžio mėn. buvo 68 vaikai.</t>
  </si>
  <si>
    <t>08.05.</t>
  </si>
  <si>
    <t>Gerinti ugdymo sąlygas ir aplinką</t>
  </si>
  <si>
    <t>Įstaigų objektų, kuriuose atnaujintos arba iš dalies atnaujintos aplinkos</t>
  </si>
  <si>
    <t>08.05.02.</t>
  </si>
  <si>
    <t>Atnaujinti ir modernizuoti švietimo įstaigų ugdymo aplinką</t>
  </si>
  <si>
    <t>08.05.02.08</t>
  </si>
  <si>
    <t>Įgyvendinti projektą „Šiaulių Sporto gimnazijos (Vilniaus g. 297) modernizavimas“</t>
  </si>
  <si>
    <t>Atlikti I etapo (vidaus įrengimas) rangos darbus</t>
  </si>
  <si>
    <t>Darbai vyksta pagal suplanuotą darbų grafiką ir bus tęsiami 2025 metais.</t>
  </si>
  <si>
    <t>08.05.02.09</t>
  </si>
  <si>
    <t>Įgyvendinti projektą „Santarvės gimnazijos rekonstravimas“</t>
  </si>
  <si>
    <t>Atlikta planuotų pastato remonto darbų</t>
  </si>
  <si>
    <t>08.05.02.16</t>
  </si>
  <si>
    <t>Rekonstruoti miesto gimnazijų ir mokyklų sporto aikštynus</t>
  </si>
  <si>
    <t>Atlikti Gytarių progimnazijos sporto aikštyno atnaujinimo rangos darbai</t>
  </si>
  <si>
    <t>08.05.02.17</t>
  </si>
  <si>
    <t>Renovuoti švietimo įstaigų baseinus</t>
  </si>
  <si>
    <t>Atliktų lopšelio-darželio "Žiogelis" baseino renovacijos darbų</t>
  </si>
  <si>
    <t>Sutartis pasirašyta 2024 m. 08 mėn. Darbai vyksta pagal grafiką ir keliasi į 2025 metus.</t>
  </si>
  <si>
    <t>08.05.02.22</t>
  </si>
  <si>
    <t>Įgyvendinti projektą „Rėkyvos progimnazijos rekonstrukcija ir aplinkos gerinimas“</t>
  </si>
  <si>
    <t>Atliktos statybos darbų baigimo procedūros</t>
  </si>
  <si>
    <t>Tvarkoma užbaigimo dokumentacija, visi fiziniai darbai yra užbaigti.</t>
  </si>
  <si>
    <t>08.05.02.23</t>
  </si>
  <si>
    <t>Tvarkyti švietimo įstaigų teritorijų dangas ir įvažiavimus</t>
  </si>
  <si>
    <t>Švietimo įstaigų, kuriose atnaujintos teritorijų dangos ir įvažiavimai (l/d „Pasaka“, Lieporių gimnazija, l/d „Dainelė“, "Bitė", "Sigutė", P. Avižonio ugd. centras, "Dermės" mokykla, "Santakos" ugd. centras, "Ringuvos" mokykla, ir kt.)</t>
  </si>
  <si>
    <t>Sutvarkytas „Santakos“ ugdymo centro kiemas, l/d "Pasaka" teritorija, Romuvos gimnazijos didžioji aikštė, takai nuo Dainų gatvės pusės, l/d "Dainelė" teritorija, sutvarkytos Sandoros progimnazijos krepšinio ir tinklinio aikštelės, l/d "Sigutė" kiemas, P. Avižonio ugdymo centro, l/d "Bitė", J. Janonio gimnazijos ir Menų mokyklos kiemai, "Juventos" progimnazijos, Dainų muzikos mokyklos takai.</t>
  </si>
  <si>
    <t>08.05.02.24</t>
  </si>
  <si>
    <t>Atnaujinti švietimo įstaigų teritorijų lauko įrenginius ir aptvėrimą</t>
  </si>
  <si>
    <t>Švietimo įstaigų, kuriose atnaujinti lauko įrenginiai ir aptvertos teritorijos (Gegužių, Rėkyvos, "Juventos" progimnazijos ir kt.)</t>
  </si>
  <si>
    <t>Švietimo įstaigų, kuriose atnaujintas lauko apšvietimas (Dailės mokykla, Dainų muzikos mokykla ir kt.)</t>
  </si>
  <si>
    <t>Įrengtas kiemo apšvietimas Dainų muzikos ir Dailės mokyklose.</t>
  </si>
  <si>
    <t>08.05.02.31</t>
  </si>
  <si>
    <t>Atnaujinti švietimo įstaigų pastatus, patalpas, įrangą ir komunikacijas</t>
  </si>
  <si>
    <t>Švietimo įstaigų, atnaujinusių  virtuves ir įrangą (L-d "Voveraitė", Saulės pradinė mokykla ir  kt.)</t>
  </si>
  <si>
    <t>"Saulės" ir Centro pradinėse mokyklose, Rėkyvos progimnazijoje, l/d "Voveraitė" atliktas virtuvių remontas ir atnaujinta virtuvės įranga.</t>
  </si>
  <si>
    <t>Įstaigų, kurių pastatams apšiltintos sienos ("Dagilėlio" dainavimo mokykla, l-d "Vaikystė", Jovaro progimnazija  ir kt.).)</t>
  </si>
  <si>
    <t>Atnaujinta vėdinimo sistema ir lauko laiptai</t>
  </si>
  <si>
    <t>Lieporių gimnazijoje atliktas rūsio vėdinimo sistemos remontas.</t>
  </si>
  <si>
    <t>Įstaigų, kuriose atliktas vamzdynų ir patalpų remontas, įsigyta įranga (l-d "Ežerėlis", "Drugelis", "Pasaka", "Gintarėlis", "Pupų pėdas", "Eglutė", "Bitė", "Žirniukas", "Vaikystė", Menų m. "Kibirkštis", Gegužių progim., S. Daukanto inž. gimn., Gytarių progimn., Rėkyvos progimn.  ir kt.)</t>
  </si>
  <si>
    <t>Įstaigų, kuriose atliktas elektros instaliacijos remontas (l/d „Ąžuoliukas“, "Salduvė", ,,Drugelis“, "Eglutė", Lieporių gimnazija, Aviižonio ugdymo centras ir kt.)</t>
  </si>
  <si>
    <t>Įstaigų, kuriose atnaujinti arba suremontuoti stogai („Dagilėlio“ dainavimo mokykla, Juliaus Janonio gimnazija, Dailės mokykla, Dainų muzikos mokykla ir kt.)</t>
  </si>
  <si>
    <t>Atlikti Dailės mokyklos ir Dainų muzikos mokyklos stogų remonto darbai. Pakeista 90 proc. dainavimo mokyklos ,,Dagilėlis“ stogo.</t>
  </si>
  <si>
    <t>Įstaigų, kuriose atnaujinti arba suremontuoti fasadai ir nuogrindos (Šiaulių universitetinė, Lieporių gimnazijos, "Romuvos" , Salduvės progimnazijos,  ir kt.)</t>
  </si>
  <si>
    <t>08.05.02.41</t>
  </si>
  <si>
    <t>Įgyvendinti projektą „Didždvario gimnazijos pastato remontas“</t>
  </si>
  <si>
    <t>Atlikta planuotų gimnazijos remonto darbų</t>
  </si>
  <si>
    <t>08.05.02.52</t>
  </si>
  <si>
    <t>Įgyvendinti projektą „Šiaulių Didždvario gimnazijos ir Šiaulių „Juventos“ progimnazijos ugdymo aplinkos modernizavimas“</t>
  </si>
  <si>
    <t>08.05.02.53</t>
  </si>
  <si>
    <t>Įgyvendinti projektą „Lopšelio darželio „Kregždutė" modernizavimas“</t>
  </si>
  <si>
    <t>08.05.02.60</t>
  </si>
  <si>
    <t>Įgyvendinti švietimo įstaigų modernizavimo projektą</t>
  </si>
  <si>
    <t>Įrengti liftai ir kitas pritaikymas neįgaliesiems švietimo įstaigose</t>
  </si>
  <si>
    <t>Įdiegta kondicionavimo įranga ikimokyklinio ugdymo įstaigose</t>
  </si>
  <si>
    <t>08.05.02.60.01</t>
  </si>
  <si>
    <t>Gerinti švietimo paslaugų prieinamumą ir kokybę</t>
  </si>
  <si>
    <t>Įrengti liftai ir pritaikytos aplinkos neįgaliesiems švietimo įstaigose (Salduvės, "Romuvos", V. Kudirkos progimnazijose, Dailės mokykloje ir kt.)</t>
  </si>
  <si>
    <t>08.05.02.60.02</t>
  </si>
  <si>
    <t>Atsinaujinančių energijos išteklių panaudojimas Šiaulių miesto švietimo įstaigose (saulės elektrinių įrengimas)</t>
  </si>
  <si>
    <t>08.05.02.61</t>
  </si>
  <si>
    <t>Įgyvendinti projektą „Savivaldybės viešųjų pastatų atnaujinimui teikiamų subsidijų panaudojimas“</t>
  </si>
  <si>
    <t>Atnaujinta (modernizuota) savivaldybės viešųjų pastatų</t>
  </si>
  <si>
    <t>08.05.02.62</t>
  </si>
  <si>
    <t>Užtikrinti švietimo įstaigų pastatų ir vidaus patalpų avarinių situacijų šalinimą</t>
  </si>
  <si>
    <t>Pašalintos vidaus ir išorės pastatų, lauko aplinkos avarinės situacijos švietimo įstaigose</t>
  </si>
  <si>
    <t>08.05.02.64</t>
  </si>
  <si>
    <t>Atnaujinti mokyklų sporto sales</t>
  </si>
  <si>
    <t>Suremontuotų  sporto salių (ir pagalbinių patalpų) švietimo įstaigose (V. Kudirkos,  Gegužių, Gytarių, Jovaro , Zoknių, "Romuvos" progimnazijų, "Romuvos", Šiaulių universitetinės, S. Daukanto inžinerinės, S. Šalkauskio, "Santarvės" gimnazijų, "Ringuvos" mokyklos ir kt.)</t>
  </si>
  <si>
    <t>Atliktas sporto salių kapitalinis ir paprastasis remontas 15-oje bendrojo ugdymo mokyklų.</t>
  </si>
  <si>
    <t>08.05.02.65</t>
  </si>
  <si>
    <t>Atnaujinti Šiaulių jaunųjų gamtininkų centrą (Žuvininkų g.30)</t>
  </si>
  <si>
    <t>Parengtas projektas</t>
  </si>
  <si>
    <t>Parengtas techninis projektas ir pateiktas ekspertizei. 2024 m. rugpjūčio 22 d. gautas Bendrosios ekspertizės aktas. Inicijuotos statybos leidimo išėmimo procedūros.</t>
  </si>
  <si>
    <t>Pasirašyta projekto finansavimo sutartis su VšĮ Centrine projektų valdymo agentūra.</t>
  </si>
  <si>
    <t>08.05.02.66</t>
  </si>
  <si>
    <t>Įrengti edukacines erdves bendrojo ugdymo mokyklose, plėtojant visos dienos mokyklos veiklas</t>
  </si>
  <si>
    <t>Finansavimo sutartis pasirašyta 2024-08-30.</t>
  </si>
  <si>
    <t>Įsigyta įranga ir baldai</t>
  </si>
  <si>
    <t>Įsigyta dalis įrangos ir baldų Medelyno, Zoknių, "Sandoros"Rasos ir Juventos progimnazijose  bei "Centro" ir "Saulės" pradinėse mokyklose. Kitos mokyklos 2024 m įrangos ir baldų įsigyti neplanavo.</t>
  </si>
  <si>
    <t>08.05.02.67</t>
  </si>
  <si>
    <t>Didinti ikimokyklinio ugdymo paslaugų prieinamumą, pritaikant ikimokykliniam ugdymui pastatą adresu Pabalių g. 53</t>
  </si>
  <si>
    <t>Parengtas techninis projektas, gauta teigiama ekspertizės išvada.</t>
  </si>
  <si>
    <t>08.05.02.68</t>
  </si>
  <si>
    <t>Įgyvendinti bendrojo ugdymo mokyklų projektą ,,Tūkstantmečio mokyklos I“</t>
  </si>
  <si>
    <t>Atnaujinta infrastruktūra Šiaulių universitetinėje ir S. Šalkauskio gimnazijose, Gytarių, Ragainės ir Salduvės progimnazijose</t>
  </si>
  <si>
    <t>Įgyvendintos ugdymo kokybę gerinančios priemonės Šiaulių universitetinėje ir S. Šalkauskio gimnazijose, Gytarių, Ragainės ir Salduvės progimnazijose</t>
  </si>
  <si>
    <t>Projekte dalyvaujančiose mokyklose ir ŠMSA vyksta „minkštosios“ veiklos, skirtos ugdymo kokybės gerinimui.</t>
  </si>
  <si>
    <t>Įsigyti baldai, įranga ir mokymo priemonės Šiaulių universitetinėje ir S. Šalkauskio gimnazijose, Gytarių, Ragainės ir Salduvės progimnazijose</t>
  </si>
  <si>
    <t>Įsigyti baldai, įranga ir priemonės, kurie gali būti naudojami mokyklose neatlikus rangos darbų (pvz. kompiuterinė įranga, sėdmaišiai, muzikos instrumentai ir kt.).</t>
  </si>
  <si>
    <t>08.05.02.69</t>
  </si>
  <si>
    <t>Įgyvendinti projektą „S. Daukanto gimnazijos pastato (S. Daukanto g. 71, Šiauliai) modernizavimas bei funkcionalumo didinimas pritaikant jį pagrindiniam bei viduriniam ugdymui pagal specializuotas inžinerinio ugdymo programas“</t>
  </si>
  <si>
    <t>Parengta techninė dokumentacija</t>
  </si>
  <si>
    <t>Atlikti esamo statinio būtinieji tyrimai (situacijos apžiūra, patalpų matavimas, vizualinis pastato konstrukcijų vertinimas) pagal lifto projektavimo sutartį. Lygiagrečiai vyksta patalpų projektavimo darbai pagal atskirą projektavimo sutartį.</t>
  </si>
  <si>
    <t>08.05.02.70</t>
  </si>
  <si>
    <t>Įgyvendinti projektą „Ugdymo aplinkos atnaujinimas Šiaulių miesto Vinco Kudirkos progimnazijoje“</t>
  </si>
  <si>
    <t>Atliktas mokėjimas už topografinės nuotraukos parengimą projektavimo metu.</t>
  </si>
  <si>
    <t>08.05.02.71</t>
  </si>
  <si>
    <t>Įgyvendinti projektą „Ugdymo aplinkos atnaujinimas Šiaulių miesto Ragainės progimnazijoje“</t>
  </si>
  <si>
    <t>Sudaryta projektavimo darbų sutartis.</t>
  </si>
  <si>
    <t>08.05.02.72</t>
  </si>
  <si>
    <t>Įgyvendinti projektą „Šiaulių miesto „Romuvos", „Dainų", Salduvės progimnazijų bei Didždvario ir Lieporių gimnazijų lauko infrastruktūros ir aplinkinių teritorijų funkcionalumo didinimas“</t>
  </si>
  <si>
    <t>09.</t>
  </si>
  <si>
    <t>Bendruomenės sveikatinimo programa</t>
  </si>
  <si>
    <t>09.01.</t>
  </si>
  <si>
    <t>Sudaryti palankias sąlygas miesto bendruomenei sveikatinti ir gerinti sveikatos priežiūros paslaugų kokybę ir prieinamumą</t>
  </si>
  <si>
    <t>Asmenų sergamumas, tenkantis 1000 savivaldybės gyventojų, skaičiaus pokytis per metus</t>
  </si>
  <si>
    <t>09.01.01.</t>
  </si>
  <si>
    <t>Modernizuoti sveikatos priežiūros įstaigų infrastruktūrą</t>
  </si>
  <si>
    <t>09.01.01.05</t>
  </si>
  <si>
    <t>Įgyvendinti projektą „Energetinių charakteristikų gerinimas VšĮ Dainų pirminės sveikatos priežiūros centre"</t>
  </si>
  <si>
    <t>Atlikti pastato modernizavimo darbai.</t>
  </si>
  <si>
    <t>Įrengtas liftas</t>
  </si>
  <si>
    <t>09.01.01.11</t>
  </si>
  <si>
    <t>Įgyvendinti projektą „VšĮ Šiaulių ilgalaikio gydymo ir geriatrijos centro pastatų rekonstravimas, aktyvios ventiliacijos įrengimas, kiemo gerbūvio sutvarkymas ir maisto gamybos skyriaus modernizavimas"</t>
  </si>
  <si>
    <t>Atlikta naujojo korpuso dalies rekuperavimo ir kondicionavimo sistemos įrengimo darbų</t>
  </si>
  <si>
    <t>09.01.01.13</t>
  </si>
  <si>
    <t>Modernizuoti VšĮ Šiaulių centro polikliniką</t>
  </si>
  <si>
    <t>Atlikta naujojo Odontologijos korpuso fasado remonto darbų</t>
  </si>
  <si>
    <t>09.01.01.18</t>
  </si>
  <si>
    <t>Didinti VšĮ Dainų pirminės sveikatos priežiūros centro funkcionalumą</t>
  </si>
  <si>
    <t>Įrengtas elektros tiekimo šaltinis</t>
  </si>
  <si>
    <t>Modernizuota pastato Aido g. 16 A dalis</t>
  </si>
  <si>
    <t>Sutvarkyta viešo naudojimo šaligatvių danga</t>
  </si>
  <si>
    <t>09.01.01.19</t>
  </si>
  <si>
    <t>Įgyvendinti projektą „Sveikatos centrų sudėtyje teikiamų sveikatos priežiūros paslaugų infrastruktūros modernizavimas Šiaulių miesto savivaldybėje“</t>
  </si>
  <si>
    <t>09.01.01.20</t>
  </si>
  <si>
    <t>Įgyvendinti projektą „Ilgalaikės priežiūros dienos centrų įrengimas, mobilių komandų aprūpinimas įranga ir transporto priemonėmis“</t>
  </si>
  <si>
    <t>Įkurtų specializuotų dienos priežiūros centrų</t>
  </si>
  <si>
    <t>Sukurtų mobilių komandų</t>
  </si>
  <si>
    <t>Įsigyta įrangos</t>
  </si>
  <si>
    <t>Modernizuoto ilgalaikės priežiūros dienos centro talpumas dienai</t>
  </si>
  <si>
    <t>09.01.02.</t>
  </si>
  <si>
    <t>Plėtoti visuomenės sveikatos priežiūros paslaugas ir ugdyti visuomenės poreikį sveikai gyventi</t>
  </si>
  <si>
    <t>09.01.02.04</t>
  </si>
  <si>
    <t>Užtikrinti Visuomenės sveikatos biuro veiklą</t>
  </si>
  <si>
    <t>Privalomojo mokymo metu mokytų asmenų</t>
  </si>
  <si>
    <t>Privalomojo mokymo metu mokytų asmenų skaičius: I ketv. 102, II ketv. 175, III ketv. 50, IV ketv. 88.</t>
  </si>
  <si>
    <t>09.01.02.05</t>
  </si>
  <si>
    <t>Plėtoti sveiką gyvenseną bei stiprinti sveikos gyvensenos įgūdžius ugdymo įstaigose ir bendruomenėse, vykdyti visuomenės sveikatos stebėseną</t>
  </si>
  <si>
    <t>Ugdymo įstaigų, kuriose vykdytos visuomenės sveikatos priežiūros funkcijos</t>
  </si>
  <si>
    <t>Mokinių, dalyvavusių sveikatinimo veiklose ugdymo įstaigose</t>
  </si>
  <si>
    <t>Mokinių, dalyvavusių sveikatinimo veiklose ugdymo įstaigose: I ketv. 25464, II ketv. 26075, III ketv. 12677, IV ketv. 15041.</t>
  </si>
  <si>
    <t>Stebėsenos ataskaitų su pasiūlymais dėl gyventojų sveikatos būklės gerinimo</t>
  </si>
  <si>
    <t>Miesto gyventojų, dalyvavusių sveikatinimo veiklose</t>
  </si>
  <si>
    <t>Miesto gyventojų, dalyvavusių sveikatinimo veiklose: I ketv. 7710, II ketv. 8786, III ketv. 1956, IV ketv. 6322.</t>
  </si>
  <si>
    <t>Asmenų, baigusių Širdies ir kraujagyslių ligų ir cukrinio diabeto prevencinę sveikatos stiprinimo programą</t>
  </si>
  <si>
    <t>Žmonių, baigusių Širdies ir kraujagyslių ligų ir cukrinio diabeto prevencinę sveikatos stiprinimo programą, skaičius: I ketv. 24, II ketv. 66, IV ketv. - 63. Vasaros metu nevyko.</t>
  </si>
  <si>
    <t>09.01.02.07</t>
  </si>
  <si>
    <t>Plėtoti visuomenės psichikos sveikatos paslaugų prieinamumą bei ankstyvojo savižudybių atpažinimo ir kompleksinės pagalbos teikimo sistemą</t>
  </si>
  <si>
    <t>Pravestų mokymų</t>
  </si>
  <si>
    <t>Pravestų mokymų: I ketv. 6, II ketv. 2, III ketv. 4, IV ketv. 8.</t>
  </si>
  <si>
    <t>Psichologinės gerovės paslaugos (individualios ir grupinės konsultacijos)</t>
  </si>
  <si>
    <t>Suteiktos psichologinės gerovės paslaugos (individualios ir grupinės konsultacijos): I ketv. 784, II ketv. 1069, III ketv. 725, IV ketv. 845.</t>
  </si>
  <si>
    <t>Priklausomybės konsultanto paslaugos</t>
  </si>
  <si>
    <t>Suteiktos priklausomybės konsultanto paslaugos: I ketv. - 93; II ketv. - 98, III ketv. 277, IV ketv. 142.</t>
  </si>
  <si>
    <t>Ankstyvosios intervencijos programą baigusių dalyvių</t>
  </si>
  <si>
    <t>Ankstyvosios intervencijos programą baigę dalyviai: 12. Vasaros metu nevyko. IV ketv. dalyvavo 17.</t>
  </si>
  <si>
    <t>09.01.04.</t>
  </si>
  <si>
    <t>Vykdyti ligų prevenciją ir didinti sveikatos priežiūros paslaugų prieinamumą</t>
  </si>
  <si>
    <t>09.01.04.04</t>
  </si>
  <si>
    <t>Įgyvendinti projektą „Paramos priemonių tuberkulioze sergantiems asmenims įgyvendinimas Šiaulių mieste"</t>
  </si>
  <si>
    <t>Tuberkulioze sergančių pacientų, kuriems buvo suteiktos socialinės paramos priemonės tuberkuliozės ambulatorinio gydymo metu</t>
  </si>
  <si>
    <t>09.01.04.05</t>
  </si>
  <si>
    <t>Įgyvendinti projektą „Priklausomybės ligų profilaktikos, diagnostikos ir gydymo kokybės ir prieinamumo gerinimas Šiaulių mieste"</t>
  </si>
  <si>
    <t>Apsilankymų žemo slenksčio paslaugų kabinetuose</t>
  </si>
  <si>
    <t>2024-04-22 pasirašyta sutartis Nr. SŽ-712, skiriamos lėšos  Žemo slenksčio kabineto projekto tęstinumui
„Priklausomybės ligų profilaktikos, diagnostikos ir gydymo kokybės ir prieinamumo gerinimas
Šiaulių mieste“. Apsilankymų skaičius I ketv. 158, II ketv. 395, III ketv. 223, IV ketv. 32, viso - 808.</t>
  </si>
  <si>
    <t>09.01.04.06</t>
  </si>
  <si>
    <t>Pritraukti sveikatos specialistus į Šiaulių miestą ir išlaikyti jame</t>
  </si>
  <si>
    <t>Paremtų gydytojų, atvykusių dirbti į Šiaulius</t>
  </si>
  <si>
    <t>Trūkstamiems gydytojams specialistams taikyta finansinė motyvavimo priemonė, siekiant pritraukti dirbti Šiaulių miesto sveikatos priežiūros įstaigose: II ketv. 2, III ketv. 2, IV ketv. 12.</t>
  </si>
  <si>
    <t>Finansuotų sveikatos mokslų studentų</t>
  </si>
  <si>
    <t>Rezidentų, bendrosios praktikos slaugytojų, visuomenės sveikatos specialistų studijų ar kursų finansavimas, siekiant trūkstamus specialistus pritraukti dirbti Šiaulių miesto sveikatos priežiūros įstaigose. Viso finansuotos 7 visuomenės sveikatos specialistų, 7 gydytojų rezidentų, 2 slaugytojų studijos.</t>
  </si>
  <si>
    <t>09.01.04.10</t>
  </si>
  <si>
    <t>Vykdyti Visuomenės sveikatos rėmimo specialiąją programą</t>
  </si>
  <si>
    <t>Įgyvendinta programa</t>
  </si>
  <si>
    <t>09.01.04.10.01</t>
  </si>
  <si>
    <t>Sukurti ir gerinti miesto bendruomenės sveikatinimo sąlygas, organizuojant sveikatinimo projektų konkursus ir finansuojant jų įgyvendinimą</t>
  </si>
  <si>
    <t>Sveikatinimo iniciatyvose dalyvavusių asmenų</t>
  </si>
  <si>
    <t>09.01.04.10.02</t>
  </si>
  <si>
    <t>Organizuoti privalomąjį profilaktinį aplinkos kenksmingumo pašalinimą</t>
  </si>
  <si>
    <t>Gavusių privalomojo profilaktinio aplinkos kenksmingumo pašalinimo paslaugas asmenų</t>
  </si>
  <si>
    <t>09.01.04.10.03</t>
  </si>
  <si>
    <t>Vykdyti maudyklų priežiūrą ir vandens kokybės stebėseną</t>
  </si>
  <si>
    <t>Stebėtų ir prižiūrėtų maudyklų</t>
  </si>
  <si>
    <t>Atliktų vandens kokybės tyrimų</t>
  </si>
  <si>
    <t>09.01.04.10.04</t>
  </si>
  <si>
    <t>Vykdyti ligų profilaktikos ir prevencijos priemones</t>
  </si>
  <si>
    <t>Įvykdytų ligų profilaktikos ir prevencijos priemonių</t>
  </si>
  <si>
    <t>Bendradarbiauta organizuojant fizinio aktyvumo skatinimo renginį "Drakonų valčių varžybos", vykdyta užkrečiamųjų ligų profilaktika.</t>
  </si>
  <si>
    <t>09.01.04.10.05</t>
  </si>
  <si>
    <t>Kompensuoti ir teikti medicinines paslaugas tikslinėms gyventojų grupėms</t>
  </si>
  <si>
    <t>Dantų protezavimo paslaugas gavusių asmenų</t>
  </si>
  <si>
    <t>Slaugos paslaugas gavusių asmenų</t>
  </si>
  <si>
    <t>Slaugos paslaugas gavo 1 asmuo.</t>
  </si>
  <si>
    <t>Pervežtų pacientų</t>
  </si>
  <si>
    <t>Pervežtų asmenų dėl būtinojo hospitalizavimo skaičius ir pervežtų gulinčių pacientų skaičius.</t>
  </si>
  <si>
    <t>Ortodonto suteiktų konsultacijų</t>
  </si>
  <si>
    <t>2024-04-22 pasirašyta projekto finansavimo sutartis Nr. SŽ-714 su Šiaulių centro poliklinika. Per II ketv. suteiktos 1835 ortodonto konsultacijos, per III ketv. - 686. Viso suteiktos 3085 konsultacijos.</t>
  </si>
  <si>
    <t>10.</t>
  </si>
  <si>
    <t>Socialinės paramos įgyvendinimo programa</t>
  </si>
  <si>
    <t>10.01.</t>
  </si>
  <si>
    <t>Įgyvendinti socialinės apsaugos sistemą, mažinančią socialinę atskirtį ir užtikrinančią pažeidžiamų gyventojų grupių socialinę integraciją</t>
  </si>
  <si>
    <t>Socialinių paslaugų gavėjų dalis nuo bendro Šiaulių miesto gyventojų skaičiaus</t>
  </si>
  <si>
    <t>Piniginės socialinės paramos gavėjų dalis nuo bendro Šiaulių miesto gyventojų skaičiaus</t>
  </si>
  <si>
    <t>Mažas pajamas gaunančių socialinės paramos gavėjų dalis nuo bendro Šiaulių miesto gyventojų skaičiaus</t>
  </si>
  <si>
    <t>10.01.01.</t>
  </si>
  <si>
    <t>Teikti socialines paslaugas ir didinti jų prieinamumą įvairioms gyventojų grupėms</t>
  </si>
  <si>
    <t>10.01.01.05</t>
  </si>
  <si>
    <t>Teikti ilgalaikės, trumpalaikės ir dienos socialinės globos paslaugas senyvo amžiaus asmenims, suaugusiems asmenims ir vaikams su negalia ir su sunkia negalia</t>
  </si>
  <si>
    <t>Teikiamų paslaugų rūšių</t>
  </si>
  <si>
    <t>Dėl trumpalaikės, ilgalaikės soc. globos paslaugų finansavimo Savivaldybė yra sudariusi sutartis su 50 įstaigų. Dienos soc. globa teikiama Šiaulių miesto sav. globos namų dienos globos padalinyje „Goda“, Kompleksinių paslaugų namuose „Alka" ir Šiaulių „Spindulio" ugdymo centre. Integralios pagalbos ir dienos socialinės globos paslaugas asmens namuose teikia Šiaulių miesto sav. globos namai, Šiaulių miesto sav. socialinių paslaugų centras, Kompleksinių paslaugų namai „Alka", Šiaulių vyskupijos Caritas, VšĮ Globos ir slaugos centras Sidabražolė, VšĮ Paliatyviosios pagalbos klinika. Laikino atokvėpio paslaugas teikia Šiaulių miesto sav. globos namai, Kompleksinių paslaugų namai „Alka".</t>
  </si>
  <si>
    <t>Patenkintų prašymų laikino atokvėpio paslaugai gauti (nuo visų pateiktų asmenų prašymų)</t>
  </si>
  <si>
    <t>Ilgalaikės ir trumpalaikės globos paslaugų gavėjai su sunkia negalia (unikalūs)</t>
  </si>
  <si>
    <t>Ilgalaikės ir trumpalaikės globos paslaugų gavėjai su negalia (unikalūs)</t>
  </si>
  <si>
    <t>Dienos socialinės globos paslaugų gavėjai su sunkia negalia (unikalūs)</t>
  </si>
  <si>
    <t>Dienos socialinės globos paslaugų asmens namuose gavėjų su negalia (unikalūs)</t>
  </si>
  <si>
    <t>10.01.01.07</t>
  </si>
  <si>
    <t>Įgyvendinti Užimtumo didinimo programą</t>
  </si>
  <si>
    <t>Įsidarbinusių asmenų dalis nuo bendro Programoje dalyvavusių asmenų skaičiaus</t>
  </si>
  <si>
    <t>10.01.01.09</t>
  </si>
  <si>
    <t>Įgyvendinti Būsto pritaikymo asmenims turintiems negalią programą</t>
  </si>
  <si>
    <t>Pritaikytų būstų dalis nuo visų gautų paraiškų</t>
  </si>
  <si>
    <t>10.01.01.10</t>
  </si>
  <si>
    <t>Didinti socialinių paslaugų prieinamumą</t>
  </si>
  <si>
    <t>Suteikta asmeninės pagalbos paslaugų asmenims su negalia nuo pateiktų prašymų</t>
  </si>
  <si>
    <t>Suteikta palydėjimo jaunuoliams paslaugų nuo pateiktų prašymų</t>
  </si>
  <si>
    <t>Akredituotas soc. priežiūros paslaugas - palydėjimo paslaugas jaunuoliams teikia Kompleksinių paslaugų namai "Alka" ir VšĮ Vilniaus SOS vaikų kaimas. Per I ketv. paslaugas gavo 15 jaunuolių.
II ketv. palydėjimo paslaugas gavo 16 jaunuolių.
III ketv. palydėjimo paslaugas gavo 14 jaunuolių.
IV ketv. palydėjimo paslaugas gavo 13 jaunuolių, nuo metų pradžios 21 jaunuolis.</t>
  </si>
  <si>
    <t>Suteikta intensyvios krizių įveikimo pagalbos paslaugų nuo pateiktų prašymų</t>
  </si>
  <si>
    <t>Akredituotas soc. priežiūros paslaugas - intensyvios krizių įveikimo pagalbos paslaugas teikia VšĮ Motinos Teresės šeimų namai. Per I ketv. paslaugos suteiktos 11 gavėjų.
II ketv.: Intensyvios krizių įveikimo pagalbos paslaugos suteiktos 11 gavėjų.
III ketv.: Intensyvios krizių įveikimo pagalbos paslaugos suteiktos 16 gavėjų.
IV ketv.: Intensyvios krizių įveikimo pagalbos paslaugos suteiktos 23 gavėjams, nuo metų pradžios 34 gavėjams.</t>
  </si>
  <si>
    <t>Patenkintų prašymų pagalbos į namus paslaugai gauti nuo visų pateiktų asmenų prašymų</t>
  </si>
  <si>
    <t>Akredituotas soc. priežiūros paslaugas - pagalbos į namus paslaugas teikia Šiaulių vyskupijos Caritas, VšĮ Nuoširdus rūpestis, VšĮ Nacionalinis socialinės Integracijos institutas ir VšĮ Sidabrinė pieva. 
Per I ketv. paslaugos suteiktos 115 gavėjų.
II ketv.: Akredituotas soc. priežiūros paslaugas - pagalba į namus pradėjo teikti VšĮ "Sidabrinė pieva". Per II ketv. pagalbos į namus paslaugos suteiktos 146 gavėjams.
III ketv.: pagalbos į namus paslaugos suteiktos 153 gavėjams.
IV ketv.: pagalbos į namus paslaugos suteiktos 168 gavėjams, nuo metų pradžios 186 gavėjams.</t>
  </si>
  <si>
    <t>10.01.01.11</t>
  </si>
  <si>
    <t>Užtikrinti socialinių paslaugų įstaigų veiklą ir prienamumą</t>
  </si>
  <si>
    <t>Socialinių paslaugų centre teikiamų paslaugų rūšių</t>
  </si>
  <si>
    <t>Socialinių paslaugų centre aptarnautų asmenų (šeimų)</t>
  </si>
  <si>
    <t>Globos namuose teikiamų paslaugų rūšių</t>
  </si>
  <si>
    <t>Šiaulių miesto savivaldybės globos namuose teikiamos šios paslaugos:
1. Ilgalaikės socialinės globos paslauga senyvo amžiaus asmenims ir suaugusiems asmenims su  negalia ar sunkia negalia institucijoje;
2. Trumpalaikės socialinės globos paslauga senyvo amžiaus asmenims ir suaugusiems asmenims su  negalia ar sunkia negalia institucijoje;
3. Laikinas atokvėpis (trumpalaikė socialinė globa) institucijoje;
4. Laikinas atokvėpis (dienos socialinė globa) asmens namuose;
5. Apgyvendinimo Savarankiško gyvenimo namuose paslauga senyvo amžiaus asmenims ir suaugusiems asmenims su negalia;
6. Apgyvendinimo Apsaugotame būste paslauga;
7. Integralios pagalbos (dienos socialinės globos ir slaugos) asmens namuose paslauga senyvo amžiaus ir suaugusiems asmenims su negalia;
8. Dienos socialinės globos paslaugas asmens namuose asmenims su sunkia negalia;
9. Dienos socialinė globa įstaigoje (dienos centras GODA);
10. Socialinių įgūdžių ugdymas, palaikymas ir (ar) atkūrimas Socialinėse dirbtuvėse,
11.Bendrosios (informavimo, konsultavimo, tarpininkavimo ir atstovavimo, maitinimo organizavimo, sociokultūrinės, reabilitacijos ir kt.) socialines paslaugos;
12. Socialinės reabilitacijos paslaugos neįgaliesiems bendruomenėje;
13. Intensyvi krizių įveikimo pagalba - laikino apgyvendinimo, jei asmuo (šeima) dėl patirto smurto, prievartos ar kitų priežasčių negali naudotis savo gyvenamąja vieta;
14. Asmenų  socialinių paslaugų poreikio vertinimas, socialinės globos vertinimas.</t>
  </si>
  <si>
    <t>Globos namuose aptarnautų asmenų</t>
  </si>
  <si>
    <t>Kompleksinių paslaugų namuose "Alka" teikiamų paslaugų rūšių</t>
  </si>
  <si>
    <t>Kompleksinių paslaugų namuose "Alka" paslaugų gavėjų</t>
  </si>
  <si>
    <t>Šeimos centre teikiamų paslaugų rūšių</t>
  </si>
  <si>
    <t>Šiaulių miesto Šeimos centre teikiamos šios paslaugos:
1. Ilgalaikė (trumpalaikė) socialinė globa vaikams;
2. Vaikų dienos socialinė priežiūra (vaikų dienos centras);
3. Socialinė priežiūra šeimoms (atvejo vadyba šeimoms); 
4. Pagalba globėjams (rūpintojams), budintiems globotojams, įtėviams ir šeimynų dalyviams ar besirengiantiems jais tapti (globos centras). 
5. 2024 m. rugsėjo mėn. pradėta teikti nauja paslauga - Intensyvi krizių įveikimo pagalba.</t>
  </si>
  <si>
    <t>Šeimos centre paslaugų gavėjų</t>
  </si>
  <si>
    <t>10.01.01.12</t>
  </si>
  <si>
    <t>Užtikrinti socialinės globos paslaugų teikimą vaikams, likusiems be tėvų globos</t>
  </si>
  <si>
    <t>Globojamų vaikų šeimose</t>
  </si>
  <si>
    <t>Globojamų vaikų šeimynose</t>
  </si>
  <si>
    <t>Globojamų vaikų bendruomeniniuose vaikų globos namuose</t>
  </si>
  <si>
    <t>Bendruomeniniai vaikų globos namai veikia Šiaulių miesto Šeimos centre ir Kompleksinių paslaugų namuose "Alka". 
IV ketv. Bendruomeniniuose vaikų globos namuose globojamų vaikų skaičius 30. Nuo metų pradžios iš viso 32 vaikai.</t>
  </si>
  <si>
    <t>10.01.01.13</t>
  </si>
  <si>
    <t>Užtikrinti socialinės reabilitacijos paslaugų neįgaliesiems teikimą bendruomenėje</t>
  </si>
  <si>
    <t>Akredituotų įstaigų, teikiančių socialinės reabilitacijos paslaugas</t>
  </si>
  <si>
    <t>Unikalių paslaugų gavėjų</t>
  </si>
  <si>
    <t>10.01.01.14</t>
  </si>
  <si>
    <t>Užtikrinti vaikų dienos centrų veiklą ir prieinamumą</t>
  </si>
  <si>
    <t>Vaikų, lankančių dienos centrus</t>
  </si>
  <si>
    <t>Įstaigų, teikiančių vaikų dienos socialinę priežiūrą</t>
  </si>
  <si>
    <t>Vaikų su negalia dalis nuo visų vaikų dienos centrus lankančių vaikų skaičiaus</t>
  </si>
  <si>
    <t>10.01.01.15</t>
  </si>
  <si>
    <t>Užtikrinti kraitelio skyrimą šeimoms, susilaukusioms kūdikio</t>
  </si>
  <si>
    <t>Nupirktų kraitelių</t>
  </si>
  <si>
    <t>Per I ketv. kraitelių nebuvo pirkta.
II ketv.: Nupirkta 160 kraitelių.
III ketv.: Nupirkta 160 kraitelių.
IV ketv.: Nupirkta 240 kraitelių. Nuo metų pradžios nupirkta 560 kraitelių, kurie įteikti visoms šeimoms, susilaukusioms kūdikio.</t>
  </si>
  <si>
    <t>Kūdikiams įteiktų kraitelių dalis nuo visų per metus gimusių kūdikių</t>
  </si>
  <si>
    <t>560 kraitelių  įteikti visoms šeimoms, susilaukusioms kūdikio.</t>
  </si>
  <si>
    <t>10.01.01.17</t>
  </si>
  <si>
    <t>Įgyvendinti projektą „Kompleksinės paslaugos šeimai Šiaulių miesto savivaldybėje"</t>
  </si>
  <si>
    <t>Paslaugų gavėjų</t>
  </si>
  <si>
    <t>Bendruomeninių šeimos namų darbuotojų, organizuojančių kompleksinių paslaugų teikimą šeimai</t>
  </si>
  <si>
    <t>2024 m. dirbo 2 darbuotojai organizuojantys kompleksinių paslaugų teikimą šeimai VšĮ Socialinių inovacijų centre ir Šiaurės Lietuvos kolegijoje.</t>
  </si>
  <si>
    <t>10.01.01.18</t>
  </si>
  <si>
    <t>Įgyvendinti projektą „Vaikų socialinės integracijos skatinimas Jelgavos ir Šiaulių miestuose"</t>
  </si>
  <si>
    <t>10.01.01.19</t>
  </si>
  <si>
    <t>Užtikrinti Globos centrų veiklą</t>
  </si>
  <si>
    <t>Budinčių globotojų</t>
  </si>
  <si>
    <t>Budinčių globotojų šeimose globojamų vaikų</t>
  </si>
  <si>
    <t>GIMK mokymus baigusių asmenų</t>
  </si>
  <si>
    <t>Globėjų (rūpintojų)</t>
  </si>
  <si>
    <t>10.01.01.21</t>
  </si>
  <si>
    <t>Įgyvendinti materialinio nepritekliaus mažinimo programą</t>
  </si>
  <si>
    <t>Šeimų gaunančių paramą</t>
  </si>
  <si>
    <t>10.01.01.22</t>
  </si>
  <si>
    <t>Įgyvendinti projektą „Perėjimas nuo institucinės globos prie bendruomeninių paslaugų Sostinės regione, Vidurio ir vakarų Lietuvos regione“</t>
  </si>
  <si>
    <t>Pasirašyta sutikimų dalyvauti atvejo vadybos modelio taikyme su asmenimis, turinčiais psichikos ir (ar) intelekto negalią</t>
  </si>
  <si>
    <t>II ketv.: Pradėtas įgyvendinti projektas „Perėjimas nuo institucinės globos prie bendruomeninių paslaugų Sostinės regione, Vidurio ir vakarų Lietuvos regione“. Socialinių paslaugų skyriuje pradėjo dirbti 2 atvejo vadybininkai nuo 2024-04-02. 
III ketv.: Pasirašyta 18 sutikimų dalyvauti atvejo vadybos modelio taikyme su asmenimis, turinčiais psichikos ir (ar) intelekto negalią.
IV ketv. Pasirašyta 13 sutikimų dalyvauti atvejo vadybos modelio taikyme su asmenimis, turinčiais psichikos ir (ar) intelekto negalią. 4 asmenims nutrauktas paslaugos teikimas (dėl mirties, išvykimo gyventi į kitą savivaldybę). Iš viso nuo metų pradžios 31 sutikimas.</t>
  </si>
  <si>
    <t>Inicijuoti atvejo vadybos modelio taikymo atvejai</t>
  </si>
  <si>
    <t>Partneriai vykdantys socialinių įgūdžių ugdymo, palaikymo ir (ar) atkūrimo (socialinių dirbtuvių) veiklą</t>
  </si>
  <si>
    <t>Mero potvarkiu socialinių dirbtuvių paslaugos partneriu paskirta VšĮ „Socialinių inovacijų centras“, su kuria 2024-04-09 pasirašyta socialinių dirbtuvių paslaugos organizavimo finansavimo sutartis Nr. SŽ-608.</t>
  </si>
  <si>
    <t>Socialinių dirbtuvių veikloje dalyvaujantys asmenys, turintys psichikos ir (ar) intelekto negalią</t>
  </si>
  <si>
    <t>II ketv.: Socialinių dirbtuvių veikloje dalyvavo 13 asmenų.
III ketv.: Socialinių dirbtuvių veikloje dalyvavo 15 asmenų.
IV ketv. Socialinių dirbtuvių veikloje dalyvavo 14 asmenų. Nuo metų pradžios dalyvavo 18 asmenų.</t>
  </si>
  <si>
    <t>10.01.03.</t>
  </si>
  <si>
    <t>Plėsti  socialinių paslaugų įstaigų infrastruktūrą, atnaujinant ir modernizuojant esamus bei įrengiant naujus socialinės paskirties įstaigų pastatus</t>
  </si>
  <si>
    <t>10.01.03.09</t>
  </si>
  <si>
    <t>Pastatyti (pritaikyti pastatą) nakvynės namų ir apgyvendinimo paslaugoms teikti</t>
  </si>
  <si>
    <t>Atlikti laikino apgyvendinimo paslaugoms teikti (Tiesos g. 3) projekto II ir III etapo darbai</t>
  </si>
  <si>
    <t>10.01.03.10</t>
  </si>
  <si>
    <t>Rekonstruoti Šiaulių miesto savivaldybės socialinių paslaugų centro Paramos tarnybos pastatą (Stoties g.)</t>
  </si>
  <si>
    <t>10.01.03.12</t>
  </si>
  <si>
    <t>Įgyvendinti projektą „Bendruomeninių apgyvendinimo bei užimtumo paslaugų asmenims su proto ir psichikos negaliai plėtra Šiaulių mieste“</t>
  </si>
  <si>
    <t>Įrengta lietaus nuotekų tinklų</t>
  </si>
  <si>
    <t>10.01.03.14</t>
  </si>
  <si>
    <t>Plėsti bendruomenines paslaugas vaikams</t>
  </si>
  <si>
    <t>Projektas baigtas įgyvendinti, įsigyti visi projekto paraiškoje suplanuoti baldai ir įranga.</t>
  </si>
  <si>
    <t>10.01.03.16</t>
  </si>
  <si>
    <t>Šeimoje ir bendruomenėje teikiamų paslaugų, asmenims su proto ir intelekto negalia, plėtra</t>
  </si>
  <si>
    <t>10.01.03.17</t>
  </si>
  <si>
    <t>Modernizuoti ir pritaikyti pastatą, esantį Vytauto g. 182, socialinių paslaugų teikimui</t>
  </si>
  <si>
    <t>Atlikti pastato (Vytauto g. 182) modernizavimo darbai</t>
  </si>
  <si>
    <t>10.01.03.18</t>
  </si>
  <si>
    <t>Atnaujinti Šiaulių miesto savivaldybės socialinių paslaugų centro pastatą (Tilžės g. 63B)</t>
  </si>
  <si>
    <t>Atlikti Socialinių paslaugų centro (Tilžės g. 63B) pastato šiltinimo ir kiti su tuo susiję darbai</t>
  </si>
  <si>
    <t>10.01.05.</t>
  </si>
  <si>
    <t>Užtikrinti valstybės garantuotos piniginės socialinės paramos teikimą</t>
  </si>
  <si>
    <t>10.01.05.01</t>
  </si>
  <si>
    <t>Skirti ir išmokėti išmokas ir kompensacijas</t>
  </si>
  <si>
    <t>Socialinių išmokų ir kompensacijų gavėjų skaičius</t>
  </si>
  <si>
    <t>Išmokos mokamos pagal poreikį</t>
  </si>
  <si>
    <t>Laidojimo pašalpų gavėjų skaičius</t>
  </si>
  <si>
    <t>10.01.05.01.01</t>
  </si>
  <si>
    <t>Skirti socialinę pašalpą</t>
  </si>
  <si>
    <t>Išmokų gavėjų</t>
  </si>
  <si>
    <t>10.01.05.01.02</t>
  </si>
  <si>
    <t>Kompensuoti būsto šildymo išlaidas</t>
  </si>
  <si>
    <t>10.01.05.01.03</t>
  </si>
  <si>
    <t>Kompensuoti šalto vandens ir nuotekų išlaidas</t>
  </si>
  <si>
    <t>10.01.05.01.04</t>
  </si>
  <si>
    <t>Kompensuoti karšto vandens išlaidas</t>
  </si>
  <si>
    <t>10.01.05.01.05</t>
  </si>
  <si>
    <t>Kompensuoti kredito, paimto daugiabučiui namui atnaujinti ir palūkanų apmokėjimo už asmenis, turinčius teisę į būsto šildymo išlaidas</t>
  </si>
  <si>
    <t>10.01.05.01.06</t>
  </si>
  <si>
    <t>Skirti laidojimo pašalpą</t>
  </si>
  <si>
    <t>10.01.05.01.08</t>
  </si>
  <si>
    <t>Kompensuoti už būsto šildymą (kitomis kuro rūšimis)</t>
  </si>
  <si>
    <t>10.01.05.01.09</t>
  </si>
  <si>
    <t>Kompensuoti palaikų pervežimą</t>
  </si>
  <si>
    <t>10.01.05.01.11</t>
  </si>
  <si>
    <t>Užtikrinti išmokas Ginkluoto pasipriešinimo / rezistencijos dalyviams mokėti</t>
  </si>
  <si>
    <t>10.01.05.01.12</t>
  </si>
  <si>
    <t>Užtikrinti kompensacijų fiziniams ir juridiniams asmenims, perdavusiems savo būstą ar patalpas neatlygintinai naudotis panaudos pagrindais dėl karinių veiksmų iš Ukrainos pasitraukusiems gyventojams, mokėjimą</t>
  </si>
  <si>
    <t>10.01.05.01.13</t>
  </si>
  <si>
    <t>Užtikrinti vienkartinių išmokų įsikurti gyvenamojoje vietoje savivaldybės teritorijoje ir (ar) mėnesinių kompensacijų vaiko ugdymo pagal ikimokyklinio ar priešmokyklinio ugdymo programą, skirtų laikinąją apsaugą LR gavusiems užsieniečiams, mokėjimą</t>
  </si>
  <si>
    <t>10.01.05.02</t>
  </si>
  <si>
    <t>Skirti ir išmokėti išmokas vaikams</t>
  </si>
  <si>
    <t>Patvirtintų pareigybių</t>
  </si>
  <si>
    <t>10.01.05.01.14</t>
  </si>
  <si>
    <t>Užtikrinti LR piniginės socialinės paramos nepasiturintiems gyventojams įstatymo įgyvendinimą dėl karinių veiksmų iš Ukrainos pasitraukiantiems gyventojams</t>
  </si>
  <si>
    <t>10.01.05.02.01</t>
  </si>
  <si>
    <t>Pervesti lėšas vienkartinei išmokai vaikui mokėti</t>
  </si>
  <si>
    <t>10.01.05.02.02</t>
  </si>
  <si>
    <t>Pervesti lėšas išmokai vaikui mokėti</t>
  </si>
  <si>
    <t>10.01.05.02.03</t>
  </si>
  <si>
    <t>Pervesti lėšas privalomosios tarnybos kario vaikui mokėti</t>
  </si>
  <si>
    <t>10.01.05.02.04</t>
  </si>
  <si>
    <t>Pervesti lėšas vienkartinei išmokai nėščiai moteriai mokėti</t>
  </si>
  <si>
    <t>10.01.05.02.05</t>
  </si>
  <si>
    <t>Pervesti lėšas globos (rūpybos) išmokai mokėti</t>
  </si>
  <si>
    <t>10.01.05.02.06</t>
  </si>
  <si>
    <t>Pervesti lėšas našlaičio įsikūrimui (vienkartinė išmoka)</t>
  </si>
  <si>
    <t>10.01.05.02.07</t>
  </si>
  <si>
    <t>Pervesti lėšas globos (rūpybos) išmokos tiksliniui priedui mokėti</t>
  </si>
  <si>
    <t>10.01.05.02.08</t>
  </si>
  <si>
    <t>Pervesti lėšas išmokai besimokančio ar studijuojančio asmens vaiko priežiūrai</t>
  </si>
  <si>
    <t>10.01.05.02.09</t>
  </si>
  <si>
    <t>Pervesti lėšas išmokai gimus vienu metu daugiau kaip vienam vaikui</t>
  </si>
  <si>
    <t>10.01.05.02.10</t>
  </si>
  <si>
    <t>Pervesti lėšas išmokai įvaikinus vaiką  mokėti</t>
  </si>
  <si>
    <t>10.01.05.02.11</t>
  </si>
  <si>
    <t>Pervesti lėšas vaiko laikinosios priežiūros išmokai mokėti</t>
  </si>
  <si>
    <t>10.01.05.02.13</t>
  </si>
  <si>
    <t>Apmokėti administravimo išlaidos</t>
  </si>
  <si>
    <t>10.01.05.03</t>
  </si>
  <si>
    <t>Skirti ir išmokėti tikslines kompensacijas</t>
  </si>
  <si>
    <t>10.01.05.03.01</t>
  </si>
  <si>
    <t>Užtikrinti tikslinių kompensacijų mokėjimą</t>
  </si>
  <si>
    <t>Gavėjų skaičius</t>
  </si>
  <si>
    <t>10.01.05.03.02</t>
  </si>
  <si>
    <t>Patvirtinta pareigybių</t>
  </si>
  <si>
    <t>10.01.05.05</t>
  </si>
  <si>
    <t>Skirti kompensacijas nepriklausomybės gynėjams nukentėjusiems nuo 1991 m. sausio 11-13 d. ir po to vykdytos SSRS agresijos</t>
  </si>
  <si>
    <t>10.01.05.06</t>
  </si>
  <si>
    <t>Skirti kitas išmokas</t>
  </si>
  <si>
    <t>10.01.05.07</t>
  </si>
  <si>
    <t>Skirti socialinę paramą moksleiviams</t>
  </si>
  <si>
    <t>10.01.05.07.01</t>
  </si>
  <si>
    <t>Apmokėti išlaidas už įsigytus maisto produktus</t>
  </si>
  <si>
    <t>10.01.05.07.02</t>
  </si>
  <si>
    <t>Apmokėti išlaidas mokinio reikmenims</t>
  </si>
  <si>
    <t>10.01.05.08</t>
  </si>
  <si>
    <t>Kompensuoti keleivinio transporto vežėjų išlaidas (negautas pajamas) už lengvatinį keleivių vežimą reguliaraus susisiekimo maršrutais</t>
  </si>
  <si>
    <t>Sutartinių įsipareigojimų vykdymas</t>
  </si>
  <si>
    <t>10.01.05.09</t>
  </si>
  <si>
    <t>Įgyvendinti vystomojo bendradarbiavimo veiklą ir teikti humanitarinę pagalbą</t>
  </si>
  <si>
    <t>Suteikta pagalba (parama) šaliai, kurioje įvesta nepaprastoji padėtis ir (ar) karo padėtis</t>
  </si>
  <si>
    <t>11.</t>
  </si>
  <si>
    <t>Savivaldybės veiklos programa</t>
  </si>
  <si>
    <t>11.01.</t>
  </si>
  <si>
    <t>Efektyviai organizuoti Savivaldybės darbą ir užtikrinti Savivaldybės funkcijų įgyvendinimą</t>
  </si>
  <si>
    <t>Suteiktų elektroninių paslaugų kiekis</t>
  </si>
  <si>
    <t>Valstybės deleguotų funkcijų skaičius</t>
  </si>
  <si>
    <t>Vidutiniškai vieno darbuotojo dalyvavimas mokymuose (kartais)</t>
  </si>
  <si>
    <t>11.01.01.</t>
  </si>
  <si>
    <t>Organizuoti  Savivaldybės veiklos funkcijų įgyvendinimą</t>
  </si>
  <si>
    <t>11.01.01.01</t>
  </si>
  <si>
    <t>Užtikrinti Savivaldybės administracijos finansinį, ūkinį ir materialinį aptarnavimą</t>
  </si>
  <si>
    <t>Valstybės karjeros tarnautojų (pareigybių)</t>
  </si>
  <si>
    <t>Valstybės tarnautojų pareigybių skaičius 2024 m. sausio 1 d. buvo 214. Per I ketvirtį panaikintos 3 valstybės tarnautojų pareigybės: Bendrųjų reikalų skyriaus patarėjas, Turto valdymo skyriuje 2 vyr. specialistų pareigybės. Vietoje jų įsteigtos darbuotojų, dirbančių pagal darbo sutartį pareigybės.
Valstybės tarnautojų pareigybių skaičius 2024 m. birželio 30 d. buvo 212. Per II ketvirtį įsteigtos 3 valstybės tarnautojų pareigybės: Sveikatos skyriaus vyr. specialisto, Žemės valdymo skyriaus vyr. specialisto ir Statybos ir renovacijos skyriaus vyresniojo specialisto bei panaikintos 2 valstybės tarnautojų pareigybės: Bendrųjų reikalų skyriaus vedėjas, Miesto ūkio ir aplinkos skyriaus vyr. specialistas. Vietoje jų įsteigtos darbuotojų, dirbančių pagal darbo sutartį pareigybės.
Valstybės tarnautojų pareigybių skaičius 2024 m. rugsėjo 30 d. buvo 213. Per III ketvirtį įsteigta 1 karjeros valstybės tarnautojo Socialinių paslaugų skyriaus  vyr. specialisto pareigybė.
IV ketv. Valstybės tarnautojų pareigybių skaičius 2024 m. gruodžio 31 d. buvo 215. Per IV ketvirtį papildomai įsteigtos 2 karjeros valstybės tarnautojo pareigybės: Architektūros skyriaus  vyr. specialisto ir Turto valdymo skyriaus vyr. specialisto pareigybės.</t>
  </si>
  <si>
    <t>Darbuotojų dirbančių pagal darbo sutartis (pareigybių)</t>
  </si>
  <si>
    <t>Darbuotojų, dirbančių pagal darbo sutartį, pareigybių skaičius 2024 m. sausio 1 d. buvo 71. Per I ketvirtį įsteigtos 3 darbuotojų, dirbančių pagal darbo sutartį pareigybės: Bendrųjų reikalų skyriaus patarėjas, Turto valdymo skyriuje 1 vyriausiojo specialisto pareigybė ir 1 laisva pareigybė.
Darbuotojų, dirbančių pagal darbo sutartį, pareigybių skaičius 2024 m. birželio 30 d. buvo 78,5. Per II ketvirtį įsteigtos 4,5 darbuotojų, dirbančių pagal darbo sutartį pareigybės: Bendrųjų reikalų skyriaus vedėjas, Miesto ūkio ir aplinkos skyriuje 1 vyriausiojo specialisto, Statybos ir renovacijos skyriuje 2,5 vyresniųjų specialistų pareigybes.
Darbuotojų, dirbančių pagal darbo sutartį, pareigybių skaičius 2024 m. rugsėjo 30 d. buvo 77,5. Per III ketvirtį panaikinta Socialinių paslaugų skyriuje viena darbuotojo, dirbančio pagal darbo sutartį, pareigybė.
IV ketv. Darbuotojų, dirbančių pagal darbo sutartį, pareigybių skaičius per IV nesikeitė ir 2024 m. gruodžio 31 d. buvo 77,5.</t>
  </si>
  <si>
    <t>Įvykdytų planuotų administracijos remonto darbų</t>
  </si>
  <si>
    <t>Įsigyta kompiuterinės technikos</t>
  </si>
  <si>
    <t>Įsigyta organizacinės technikos</t>
  </si>
  <si>
    <t>Įsigyta 3 vnt. tinklo maršrutizatorių, 2 vnt. nepertraukiamo maitinimo šaltinių.</t>
  </si>
  <si>
    <t>Įsigyta duomenų saugyklų</t>
  </si>
  <si>
    <t>Įsigyta 6 vnt.</t>
  </si>
  <si>
    <t>Eksploatuojama kompiuterių</t>
  </si>
  <si>
    <t>Aktyvios komunikacijos Savivaldybės socialinėje paskyroje "Facebook" (sekėjai)</t>
  </si>
  <si>
    <t>I ketv. Vykdoma aktyvi ir aktuali komunikacija.
II ketv. Vykdoma aktyvi ir aktuali komunikacija. I pusm. pabaigoje sekėjų skaičius - 22 642 sk.
III ketv. pabaigoje sekėjų skaičius – 23 500 sk.
IV ketv. pabaigoje sekėjų skaičius – 26 000 sk.</t>
  </si>
  <si>
    <t>Mokymų dalyvių</t>
  </si>
  <si>
    <t>Sekėjų socialiniuose tinkluose lietuvių/anglų kalba (Linkedin ir Instagram) skaičius</t>
  </si>
  <si>
    <t>I ketv. 1790 Instagram ir 464 LinkedIn sekėjai. Vykdoma aktyvi komunikacija, tik šiuose tinkluose yra sunkiau pritraukti sekėjų, nei Facebook tinkle.
II ketv. 1893 Instagram ir 517 LinkedIn sekėjai. Vykdoma aktyvi komunikacija, tik šiuose tinkluose yra sunkiau pritraukti sekėjų, nei Facebook tinkle.
III ketv. 2000 Instagram ir 579 LinkedIn sekėjai. Bendras rodiklis – 2579 sekėjai.
IV ketv. 2130 Instagram ir 613 LinkedIn sekėjai. Bendras rodiklis – 2743 sekėjai.</t>
  </si>
  <si>
    <t>Įsigyta programinės įrangos licencijų</t>
  </si>
  <si>
    <t>11.01.01.01.01</t>
  </si>
  <si>
    <t>Organizuoti Savivaldybės administracijos darbą</t>
  </si>
  <si>
    <t>Valstybės tarnautojų pareigybių skaičius 2024 m. sausio 1 d. buvo 214. 
Per I ketv. panaikintos 3 valstybės tarnautojų pareigybės: Bendrųjų reikalų skyriaus patarėjas, Turto valdymo skyriuje 2 vyr. specialistų pareigybės. Vietoje jų įsteigtos darbuotojų, dirbančių pagal darbo sutartį pareigybės.
2024 m. birželio 30 d. Valstybės tarnautojų pareigybių skaičius buvo 212. Per II ketv. įsteigtos 3 valstybės tarnautojų pareigybės: Sveikatos skyriaus vyr. specialisto, Žemės valdymo skyriaus vyr. specialisto ir Statybos ir renovacijos skyriaus vyresniojo specialisto bei panaikintos 2 valstybės tarnautojų pareigybės: Bendrųjų reikalų skyriaus vedėjas, Miesto ūkio ir aplinkos skyriaus vyr. specialistas. Vietoje jų įsteigtos darbuotojų, dirbančių pagal darbo sutartį pareigybės.
Valstybės tarnautojų pareigybių skaičius 2024 m. rugsėjo 30 d. buvo 213. Per III ketvirtį įsteigta 1 karjeros valstybės tarnautojo Socialinių paslaugų skyriaus  vyr. specialisto pareigybė.
IV ketv. Valstybės tarnautojų pareigybių skaičius 2024 m. gruodžio 31 d. buvo 215. Per IV ketvirtį papildomai įsteigtos 2 karjeros valstybės tarnautojo pareigybės: Architektūros skyriaus  vyr. specialisto ir Turto valdymo skyriaus vyr. specialisto pareigybės.</t>
  </si>
  <si>
    <t>Darbuotojų, dirbančių pagal darbo sutartis (pareigybių)</t>
  </si>
  <si>
    <t>2024 m. sausio 1 d. Darbuotojų, dirbančių pagal darbo sutartį, pareigybių skaičius buvo 71. Per I ketvirtį įsteigtos 3 darbuotojų, dirbančių pagal darbo sutartį pareigybės: Bendrųjų reikalų skyriaus patarėjas, Turto valdymo skyriuje 1 vyriausiojo specialisto pareigybė ir 1 laisva pareigybė.
IV ketv. Darbuotojų, dirbančių pagal darbo sutartį, pareigybių skaičius per IV nesikeitė ir 2024 m. gruodžio 31 d. buvo 77,5.
2024 m. birželio 30 d. Darbuotojų, dirbančių pagal darbo sutartį, pareigybių skaičius buvo 78,5. Per II ketvirtį įsteigtos 4,5 darbuotojų, dirbančių pagal darbo sutartį pareigybės: Bendrųjų reikalų skyriaus vedėjas, Miesto ūkio ir aplinkos skyriuje 1 vyriausiojo specialisto, Statybos ir renovacijos skyriuje 2,5 vyresniųjų specialistų pareigybes.
Darbuotojų, dirbančių pagal darbo sutartį, pareigybių skaičius 2024 m. rugsėjo 30 d. buvo 77,5. Per III ketvirtį panaikinta Socialinių paslaugų skyriuje viena darbuotojo, dirbančio pagal darbo sutartį, pareigybė.</t>
  </si>
  <si>
    <t>11.01.01.01.03</t>
  </si>
  <si>
    <t>Organizuoti Civilinės būklės aktų registravimą</t>
  </si>
  <si>
    <t>Užtikrintas funkcijos įgyvendinimas</t>
  </si>
  <si>
    <t>11.01.01.01.06</t>
  </si>
  <si>
    <t>Organizuoti socialinių paslaugų suteikimą bei socialinių išmokų ir kompensacijų mokėjimą</t>
  </si>
  <si>
    <t>11.01.01.01.09</t>
  </si>
  <si>
    <t>Apmokėti Savivaldybės administracijos teisines išlaidas</t>
  </si>
  <si>
    <t>11.01.01.01.10</t>
  </si>
  <si>
    <t>Organizuoti Savivaldybės administracijos pastato, patalpų remontą ir turto įsigijimą</t>
  </si>
  <si>
    <t>11.01.01.01.11</t>
  </si>
  <si>
    <t>Organizuoti Savivaldybės administracijos informacijos sklaidą ir reprezentacinių prekių įsigijimą</t>
  </si>
  <si>
    <t>Aktyvios komunikacijos Savivaldybės socialinėje paskyroje "Facebook"(sekėjai)</t>
  </si>
  <si>
    <t>Komunikacija socialiniuose tinkluose lietuvių/anglų kalba (Linkedin ir Instagram) (sekėjai)</t>
  </si>
  <si>
    <t>I ketv. 1790 Instagram ir 464 LinkedIn sekėjai.  Vykdoma aktyvi komunikacija, tik šiuose tinkluose yra sunkiau pritraukti sekėjų, nei Facebook tinkle.
II ketv. 1893 Instagram ir 517 LinkedIn sekėjai.  Vykdoma aktyvi komunikacija, tik šiuose tinkluose yra sunkiau pritraukti sekėjų, nei Facebook tinkle.
III ketv. 2000 Instagram ir 579 LinkedIn sekėjai. Bendras rodiklis – 2579 sekėjai.
IV ketv. 2130 Instagram ir 613 LinkedIn sekėjai. Bendras rodiklis – 2743 sekėjai.</t>
  </si>
  <si>
    <t>Užtikrintas reprezentacinių prekių įsigijimas</t>
  </si>
  <si>
    <t>11.01.01.01.12</t>
  </si>
  <si>
    <t>Organizuoti Savivaldybės administracijos kompiuterinės ir programinės įrangos įsigijimą ir aptarnavimą</t>
  </si>
  <si>
    <t>Įsigyta programinės įrangos licenzijų</t>
  </si>
  <si>
    <t>11.01.01.01.15</t>
  </si>
  <si>
    <t>Įgyvendinti projektą „Sporto skyriaus darbuotojų mobilumo mokymosi tikslais skatinimas, siekiant užtikrinti gebėjimų stiprinimą ir plėtrą</t>
  </si>
  <si>
    <t>Stažuotėje Olandijoje dalyvavo 4 Sporto skyriaus darbuotojai.</t>
  </si>
  <si>
    <t>11.01.01.02</t>
  </si>
  <si>
    <t>Užtikrinti Savivaldybės tarybos, Savivaldybės mero ir jo politinio (asmeninio) pasitikėjimo valstybės tarnautojų finansinį, ūkinį ir materialinį aptarnavimą</t>
  </si>
  <si>
    <t>Įvykę skelbti Tarybos, Komitetų, Komisijų posėdžiai</t>
  </si>
  <si>
    <t>Laiku paskelbti ir įvykdyti Tarybos priimti sprendimai</t>
  </si>
  <si>
    <t>Mero ir Mero politinio (asmeninio) pasitikėjimo valstybės tarnautojų (pareigybių)</t>
  </si>
  <si>
    <t>11.01.01.02.01</t>
  </si>
  <si>
    <t>Organizuoti Savivaldybės tarybos darbą</t>
  </si>
  <si>
    <t>Užtikrintas tarybos narių darbas</t>
  </si>
  <si>
    <t>11.01.01.02.02</t>
  </si>
  <si>
    <t>Apmokėti Mero fondo išlaidas</t>
  </si>
  <si>
    <t>11.01.01.02.03</t>
  </si>
  <si>
    <t>Organizuoti Savivaldybės mero ir jo politinio (asmeninio) pasitikėjimo valstybės tarnautojų darbą</t>
  </si>
  <si>
    <t>11.01.01.03</t>
  </si>
  <si>
    <t>Užtikrinti Kontrolės ir audito tarnybos finansinį, ūkinį bei materialinį aptarnavimą</t>
  </si>
  <si>
    <t>Atliktų auditų</t>
  </si>
  <si>
    <t>11.01.01.05</t>
  </si>
  <si>
    <t>Užtikrinti Šiaulių apskaitos centro veiklą</t>
  </si>
  <si>
    <t>Užtikrintas centralizuotos apskaitos ir viešųjų pirkimų vykdymas</t>
  </si>
  <si>
    <t>11.01.01.09</t>
  </si>
  <si>
    <t>Užtikrinti projektų vykdymo priežiūros ir kitas inžinerines paslaugas</t>
  </si>
  <si>
    <t>Įgyvendintos projektų vykdymo priežiūros ir kitos inžinerinės paslaugos</t>
  </si>
  <si>
    <t>11.01.01.10</t>
  </si>
  <si>
    <t>Likviduoti įvykių, ekstremalių įvykių ir situacijų pasekmes (mero rezervas)</t>
  </si>
  <si>
    <t>Likviduotos įvykusių ekstremalių įvykių/situacijų pasekmės</t>
  </si>
  <si>
    <t>11.01.01.11</t>
  </si>
  <si>
    <t>Parengti Šiaulių m. 2025–2033 m. strateginį plėtros ir 2025–2027 m. strateginį veiklos planus</t>
  </si>
  <si>
    <t>Parengtas strateginis plėtros planas</t>
  </si>
  <si>
    <t>Parengtas ir 2024 m. birželio 6 d. tarybos sprendimu Nr. T-202 patvirtintas Šiaulių miesto savivaldybės 2025-2033 m. strateginis  plėtros planas.</t>
  </si>
  <si>
    <t>Parengtas strateginis veiklos planas</t>
  </si>
  <si>
    <t>Planas parengtas.</t>
  </si>
  <si>
    <t>11.01.01.12</t>
  </si>
  <si>
    <t>Organizuoti civilinės saugos infrastruktūros aprūpinimą</t>
  </si>
  <si>
    <t>Užtikrintas aprūpinimas priemonėmis, skirtomis ekstremaliųjų situacijų valdymui</t>
  </si>
  <si>
    <t>11.01.02.</t>
  </si>
  <si>
    <t>Tinkamai įgyvendinti valstybines (perduotas savivaldybei) funkcijas</t>
  </si>
  <si>
    <t>11.01.02.01</t>
  </si>
  <si>
    <t>Deklaruoti gyvenamąją vietą</t>
  </si>
  <si>
    <t>11.01.02.02</t>
  </si>
  <si>
    <t>Teikti duomenis Valstybės registrui</t>
  </si>
  <si>
    <t>11.01.02.03</t>
  </si>
  <si>
    <t>Teikti pirminę teisinę pagalbą</t>
  </si>
  <si>
    <t>11.01.02.05</t>
  </si>
  <si>
    <t>Registruoti civilinės būklės aktus</t>
  </si>
  <si>
    <t>11.01.02.06</t>
  </si>
  <si>
    <t>Tvarkyti Gyventojų registrą</t>
  </si>
  <si>
    <t>11.01.02.07</t>
  </si>
  <si>
    <t>Vykdyti valstybinės kalbos vartojimo kontrolę</t>
  </si>
  <si>
    <t>11.01.02.09</t>
  </si>
  <si>
    <t>Įgyvendinti jaunimo politiką</t>
  </si>
  <si>
    <t>11.01.02.10</t>
  </si>
  <si>
    <t>Tvarkyti archyvinius dokumentus</t>
  </si>
  <si>
    <t>11.01.02.11</t>
  </si>
  <si>
    <t>Administruoti mobilizaciją</t>
  </si>
  <si>
    <t>11.01.02.12</t>
  </si>
  <si>
    <t>Organizuoti civilinę saugą</t>
  </si>
  <si>
    <t>11.01.02.13</t>
  </si>
  <si>
    <t>Vykdyti žemės ūkio funkcijas</t>
  </si>
  <si>
    <t>11.01.02.14</t>
  </si>
  <si>
    <t>Administruoti Užimtumo didinimo programą</t>
  </si>
  <si>
    <t>11.01.02.15</t>
  </si>
  <si>
    <t>Administruoti socialines pašalpas</t>
  </si>
  <si>
    <t>11.01.02.17</t>
  </si>
  <si>
    <t>Administruoti socialinę paramą mokiniams</t>
  </si>
  <si>
    <t>11.01.02.18</t>
  </si>
  <si>
    <t>Administruoti socialinę globą</t>
  </si>
  <si>
    <t>11.01.02.20</t>
  </si>
  <si>
    <t>Administruoti būsto nuomos ar išperkamosios būsto nuomos mokesčių dalies kompensacijas</t>
  </si>
  <si>
    <t>11.01.02.21</t>
  </si>
  <si>
    <t>Užtikrinti informacijos apie neveiksnių asmenų būklę persvarstymą</t>
  </si>
  <si>
    <t>Komisijos priimti sprendimai kreiptis į teismą</t>
  </si>
  <si>
    <t>Komisijos inicijuoti asmens būklės peržiūrėjimai</t>
  </si>
  <si>
    <t>I ketv. 62, II ketv. 52, III ketv. 88, IV ketv. 72 peržiūrėjimai.</t>
  </si>
  <si>
    <t>11.01.02.22</t>
  </si>
  <si>
    <t>Organizuoti tarpinstitucinio bendradarbiavimo koordinatoriaus darbą</t>
  </si>
  <si>
    <t>Parengta ataskaita</t>
  </si>
  <si>
    <t>11.01.02.23</t>
  </si>
  <si>
    <t>Atlikti erdvinių duomenų rinkinio tvarkymo funkciją</t>
  </si>
  <si>
    <t>Atlikta tvarkymo funkcija</t>
  </si>
  <si>
    <t>11.01.02.25</t>
  </si>
  <si>
    <t>Vykdyti valstybinės žemės, perduotos Vyriausybės nutarimu, patikėtinio funkciją</t>
  </si>
  <si>
    <t>11.01.02.26</t>
  </si>
  <si>
    <t>Asmenų su negalia reikalų koordinatoriaus pareigybės išlaikymas</t>
  </si>
  <si>
    <t>11.01.04.</t>
  </si>
  <si>
    <t>Diegti ir palaikyti Savivaldybės administracijoje modernias informacines sistemas</t>
  </si>
  <si>
    <t>11.01.04.03</t>
  </si>
  <si>
    <t>Įgyvendinti administracinės naštos mažinimo planą ir organizuoti plano įgyvendinimo stebėseną</t>
  </si>
  <si>
    <t>Įgyvendintų plano priemonių</t>
  </si>
  <si>
    <t>11.01.04.04</t>
  </si>
  <si>
    <t>Gerinti asmenų aptarnavimo ir paslaugų kokybę Šiaulių miesto savivaldybėje</t>
  </si>
  <si>
    <t>Baigta tvarkyti projekto „Govtech4All“ dokumentacija ir finansiniai srautai.</t>
  </si>
  <si>
    <t>Testuotas pilotinis sprendinys energetinio efektyvumo didinimo srityje</t>
  </si>
  <si>
    <t>11.01.04.04.05</t>
  </si>
  <si>
    <t>Įgyvendinti projektą „GovTech: miesto teritorijų priežiūros kontrolės sprendinys“</t>
  </si>
  <si>
    <t>11.01.04.04.06</t>
  </si>
  <si>
    <t>„Įgyvendinti projektą „GovTech4All“</t>
  </si>
  <si>
    <t>Testuotas ir baigtas pilotinis projekto „Govtech4All“ sprendinys energetinio efektyvumo didinimo srityje.</t>
  </si>
  <si>
    <t>11.01.04.08</t>
  </si>
  <si>
    <t>Įgyvendinti projektą „Bendradarbiavimas pasienio regione siekiant užtikrinti saugumą ir viešųjų paslaugų efektyvumą“</t>
  </si>
  <si>
    <t>Įrengtų vaizdo stebėjimo kamerų</t>
  </si>
  <si>
    <t>Vykdomos sudarytos sutartys.</t>
  </si>
  <si>
    <t>Įsigyta kilnojamų vaizdo stebėjimo kamerų</t>
  </si>
  <si>
    <t>11.01.06.</t>
  </si>
  <si>
    <t>Užtikrinti finansinių įsipareigojimų vykdymą</t>
  </si>
  <si>
    <t>11.01.06.01</t>
  </si>
  <si>
    <t>Vykdyti paskolų grąžinimą, palūkanų už paskolas mokėjimą ir kitus finansinius  įsipareigojimus</t>
  </si>
  <si>
    <t>Įvykdyti skoliniai įsipareigojimai</t>
  </si>
  <si>
    <t>11.01.06.02</t>
  </si>
  <si>
    <t>Kompensuoti keleivių vežimo vietiniais maršrutais organizavimo išlaidas</t>
  </si>
  <si>
    <t>Įvykdyti sutartiniai įsipareigojimai</t>
  </si>
  <si>
    <t>11.01.06.03</t>
  </si>
  <si>
    <t>Vykdyti išmokėtos dotacijų dalies savivaldybei grąžinimą</t>
  </si>
  <si>
    <t>11.01.06.03.01</t>
  </si>
  <si>
    <t>Vykdyti projekto „Aplinkos oro kokybės gerinimas Šiaulių mieste“ išmokėtos dotacijos dalies grąžinimą</t>
  </si>
  <si>
    <t>11.01.06.03.03</t>
  </si>
  <si>
    <t>Vykdyti projekto „Paslaugų teikimo ir asmenų aptarnavimo kokybės gerinimas Šiaulių miesto savivaldybės administracijoje ir Šiaulių miesto savivaldybės viešojoje bibliotekoje“ išmokėtos dotacijos dalies grąžinimą</t>
  </si>
  <si>
    <t>11.01.06.03.04</t>
  </si>
  <si>
    <t>Vykdyti projekto „Investicinės aplinkos gerinimas Šiaulių laisvojoje ekonominėje zonoje ir jos prieigose“ išmokėtos dotacijos dalies grąžinimą</t>
  </si>
  <si>
    <t>11.01.06.03.05</t>
  </si>
  <si>
    <t>Vykdyti projekto „Viešųjų ir administracinių paslaugų (miesto tvarkymo, infrastruktūros priežiūros ir kt.) kokybės gerinimas Šiaulių miesto savivaldybėje (II etapas)“ išmokėtos dotacijos dalies grąžinimą</t>
  </si>
  <si>
    <t>11.01.06.03.06</t>
  </si>
  <si>
    <t>Vykdyti projekto „Sąlygų sukūrimas verslo plėtrai ir investicijų pritraukimui, įrengiant viešąją susisiekimo infrastruktūrą Šiaulių mieste“ išmokėtos dotacijos dalies grąžinimą</t>
  </si>
  <si>
    <t>11.01.06.03.07</t>
  </si>
  <si>
    <t>Vykdyti projekto „Aušros alėjos (nuo Žemaitės g. iki Varpo g.) viešųjų pastatų ir viešųjų erdvių prieigų rekonstrukcija“ išmokėtos dotacijos dalies grąžinimą</t>
  </si>
  <si>
    <t>11.01.06.04</t>
  </si>
  <si>
    <t>Užtikrinti Biudžetinių įstaigų finansinį, ūkinį aptarnavimą</t>
  </si>
  <si>
    <t>Įvykdyti švietimo įstaigų statinių inžinerinių sistemų avarijų ir jų padarinių šalinimo darbai</t>
  </si>
  <si>
    <t>Apdraustų biudžetinių įstaigų civilinės atsakomybės draudimu</t>
  </si>
  <si>
    <t>11.01.06.04.01</t>
  </si>
  <si>
    <t>Apmokėti civilinės atsakomybės draudimo paslaugas Savivaldybei pavaldžioms švietimo, sporto ir socialinių paslaugų įstaigoms</t>
  </si>
  <si>
    <t>11.01.06.04.02</t>
  </si>
  <si>
    <t>Užtikrinti statinių inžinerinių avarijų šalinimą Šiaulių miesto savivaldybės įstaigose</t>
  </si>
  <si>
    <t>11.01.07.</t>
  </si>
  <si>
    <t>Užtikrinti pagrindinius lygių galimybių principus Savivaldybės administracijoje</t>
  </si>
  <si>
    <t>11.01.07.01</t>
  </si>
  <si>
    <t>Sudaryti galimybes Savivaldybės administracijos darbuotojams dirbti nuotoliniu būdu ir taikyti lanksčius darbo grafikus</t>
  </si>
  <si>
    <t>Sudarytos sąlygos dirbti nuotoliniu būdu</t>
  </si>
  <si>
    <t>I ketv. administracijoje gauti 103 prašymai dėl nuotolinio darbo. Visiems darbuotojams, pateikusiems prašymus, sudarytos sąlygos dirbti nuotoliniu būdu ir taikyti lanksčius darbo grafikus.
II ketv. administracijoje gauti 49 prašymai dėl nuotolinio darbo. Visiems darbuotojams, pateikusiems prašymus, sudarytos sąlygos dirbti nuotoliniu būdu ir taikyti lanksčius darbo grafikus.
III ketv. administracijoje gauti 128 prašymai dėl nuotolinio darbo. Visiems darbuotojams, pateikusiems prašymus, sudarytos sąlygos dirbti nuotoliniu būdu ir taikyti lanksčius darbo grafikus.
 IV ketv. administracijoje gauta 150 prašymų dėl nuotolinio darbo. Visiems darbuotojams, pateikusiems prašymus, sudarytos sąlygos dirbti nuotoliniu būdu ir taikyti lanksčius darbo grafikus.</t>
  </si>
  <si>
    <t>11.01.07.02</t>
  </si>
  <si>
    <t>Teikti pasiūlymus dėl lygių galimybių kriterijų/krypčių numatymo Savivaldybės vykdomose programose</t>
  </si>
  <si>
    <t>Pateikti pasiūlymai</t>
  </si>
  <si>
    <t>I ketv. neplanuota, pirmas pasiūlymas bus pateiktas II ketv.
II ketv. pateikta 10 pasiūlymų dėl sveikatos, kultūros, sporto jaunimo, NVO ir kt.  2024 m. finansavimo programose įrašyti lygių galimybių ir nediskriminavimo (dėl lyties, rasės, tautybės, pilietybės, kalbos, kilmės, socialinės padėties, tikėjimo, įsitikinimų ar pažiūrų, amžiaus, negalios, lytinės orientacijos, etninės priklausomybės, religijos ir kitų diskriminacinių motyvų) kriterijus.
III ketv. neplanuota, antras pasiūlymas bus pateiktas IV ketvirtyje.
IV ketv. pateikti 7 pasiūlymai (rekomendacijos) kultūros, švietimo, NVO, informacinių technologijų ir socialinių paslaugų finansavimo programose įrašyti vyresnio amžiaus žmonių įtraukties didinimo kriterijų.</t>
  </si>
  <si>
    <t>11.01.07.03</t>
  </si>
  <si>
    <t>Užtikrinti informacijos sklaidą lygių galimybių klausimais</t>
  </si>
  <si>
    <t>Parengta straipsnių</t>
  </si>
  <si>
    <t>I ketv. Sudaryta Paslaugų teikimo sutartis Nr. SŽ-478, pagal kurią transliuojamos reportažinio tipo aktualių įprastinio pobūdžio informacinių pranešimų savaitės aktualijų TV laidos, skirtos Šiaulių miesto gyventojams, su vertimu į gestų kalbą (1vnt.).
II ketv. straipsnių neparengta.
III ketv. Savivaldybės internetinėje svetainėje 2024 m.  liepos 1 d. paskelbti duomenys apie darbuotojus pagal amžiaus grupes, vadovaujančias pareigas užimančius moteris ir vyrus, kiek darbuotojų yra vaiko priežiūros atostogose ir kiek dirba darbuotojų, turinčių negalią (1 vnt); įvertinta, parengta ir viešinama Savivaldybės administracijos lygių galimybių padėties analizė  (1 vnt.).
 IV ketv.  Savivaldybės internetinės svetainės dalyje "Lygių galimybių užtikrinimas" parengta ir atnaujinta informacija naudingų nuorodų, teisės aktų ir bendros informacijos skiltyse (1 vnt.).</t>
  </si>
  <si>
    <t>11.02.</t>
  </si>
  <si>
    <t>Plėtoti bendradarbiavimą su socialiniais partneriais</t>
  </si>
  <si>
    <t>Prevencinės programos įgyvendinimas</t>
  </si>
  <si>
    <t>Finansuota bendruomeninių projektų</t>
  </si>
  <si>
    <t>11.02.01.</t>
  </si>
  <si>
    <t>Plėtoti bendradarbiavimą su miesto teisėtvarkos institucijomis ir vietos bendruomene</t>
  </si>
  <si>
    <t>11.02.01.01</t>
  </si>
  <si>
    <t>Įgyvendinti prevencines programas</t>
  </si>
  <si>
    <t>Įgyvendintų prevencinių priemonių skaičius</t>
  </si>
  <si>
    <t>Įgyvendintų prevencinių priemonių skaičius pagal Šiaulių miesto savivaldybės gaisrų prevencijos ir nusikaltimų prevencijos programų priemonių planus.</t>
  </si>
  <si>
    <t>11.02.01.01.01</t>
  </si>
  <si>
    <t>Įgyvendinti Šiaulių miesto savivaldybės nusikaltimų prevencijos programą</t>
  </si>
  <si>
    <t>11.02.01.01.02</t>
  </si>
  <si>
    <t>Įgyvendinti Šiaulių miesto savivaldybės gaisrų prevencijos programą</t>
  </si>
  <si>
    <t>11.02.01.03</t>
  </si>
  <si>
    <t>Stiprinti bendruomeninę veiklą savivaldybėje</t>
  </si>
  <si>
    <t>Finansuota projektų</t>
  </si>
  <si>
    <t>Finansuota prašymų</t>
  </si>
  <si>
    <t>11.02.01.03.01</t>
  </si>
  <si>
    <t>Organizuoti bendruomeninės veiklos projektų finansavimą</t>
  </si>
  <si>
    <t>11.02.01.03.02</t>
  </si>
  <si>
    <t>Įgyvendinti tradicinių religinių bendruomenių ir bendrijų rėmimo programą</t>
  </si>
  <si>
    <t>11.02.01.03.03</t>
  </si>
  <si>
    <t>Įgyvendinti visuomenės iniciatyvas</t>
  </si>
  <si>
    <t>11.02.01.04</t>
  </si>
  <si>
    <t>Skatinti nevyriausybinių organizacijų veiklą ir užtikrinti jų plėtrą</t>
  </si>
  <si>
    <t>Suorganizuota mokymų</t>
  </si>
  <si>
    <t>11.02.01.05</t>
  </si>
  <si>
    <t>Dalyvauti rengiant ir įgyvendinant Šiaulių vietos veiklos grupės strategiją</t>
  </si>
  <si>
    <t>11.02.01.06</t>
  </si>
  <si>
    <t>Įgyvendinti dalyvaujamojo biudžeto iniciatyvas</t>
  </si>
  <si>
    <t>Įgyvendinta bendruomenės iniciatyvų</t>
  </si>
  <si>
    <t>Įgyvendintų iniciatyvų</t>
  </si>
  <si>
    <t>11.02.01.06.01</t>
  </si>
  <si>
    <t>Įgyvendinti bendruomenės iniciatyvas, skirtas gyvenamajai aplinkai gerinti</t>
  </si>
  <si>
    <t>Įgyvendinta  bendruomenės iniciatyvų</t>
  </si>
  <si>
    <t>11.02.01.06.02</t>
  </si>
  <si>
    <t>Įgyvendinti mokinių iniciatyvas</t>
  </si>
  <si>
    <t>Įgyvendinta mokinių iniciatyvų</t>
  </si>
  <si>
    <t>11.02.01.07</t>
  </si>
  <si>
    <t>Dalyvių</t>
  </si>
  <si>
    <t>Jaunimo, dalyvaujančio projektinėje veikloje, dalis nuo bendro jaunimo skaičiaus</t>
  </si>
  <si>
    <t>11.02.01.08</t>
  </si>
  <si>
    <t>Užtikrinti Integracijos paslaugų trečiųjų šalių piliečiams teikimo ir stiprinimo priemonių įgyvendinimą</t>
  </si>
  <si>
    <t>Parengta padalomoji medžiaga</t>
  </si>
  <si>
    <t>Integracijos paslaugų teikimo plane numatytų priemonių įgyvendinimas</t>
  </si>
  <si>
    <t>Įstaigų (savivaldybės biudžetinių įstaigų, nevyriausybinių organizacijų ir kt), teikiančių informaciją interneto svetainėse</t>
  </si>
  <si>
    <t>1.</t>
  </si>
  <si>
    <t>SAVIVALDYBĖS BIUDŽETAS IŠ VISO, IŠ JO:</t>
  </si>
  <si>
    <t>Savivaldybės biudžeto lėšos (SB)</t>
  </si>
  <si>
    <t>Skolintos lėšos (PS)</t>
  </si>
  <si>
    <t>Lėšos ugdymo reikmėms VB (UR)</t>
  </si>
  <si>
    <t>Lėšos valstybinėms funkcijoms VB (VF)</t>
  </si>
  <si>
    <t>Valstybės biudžeto lėšos (VB)</t>
  </si>
  <si>
    <t>Kelių priežiūros ir plėtros programos lėšos VB (KPPP)</t>
  </si>
  <si>
    <t>Valstybės investicijų projektų lėšos VB (VIP)</t>
  </si>
  <si>
    <t>Europos Sąjungos lėšos (ES)</t>
  </si>
  <si>
    <t>Įstaigos pajamų lėšos (PL)</t>
  </si>
  <si>
    <t>Lėšų likutis ataskaitinio laikotarpio pabaigoje (LIK)</t>
  </si>
  <si>
    <t>Aplinkos apsaugos rėmimo specialiosios programos lėšos SB (AA)</t>
  </si>
  <si>
    <t>Lėšų likutis iš Aplinkos apsaugos rėmimo specialiosios programos SB (AA/LIK)</t>
  </si>
  <si>
    <t>2.</t>
  </si>
  <si>
    <t>KITOS LĖŠOS IŠ VISO, IŠ JŲ:</t>
  </si>
  <si>
    <t>Valstybės biudžeto lėšos KT (VB)</t>
  </si>
  <si>
    <t>Europos Sąjungos lėšos KT (ES)</t>
  </si>
  <si>
    <t>Kitų šaltinių lėšos KT (KL)</t>
  </si>
  <si>
    <t>IŠ VISO programai finansuoti pagal finansavimo šaltinius:</t>
  </si>
  <si>
    <t>2024 metų I-IV ketvirčio įvykdymo proc.</t>
  </si>
  <si>
    <t>Lėšos panaudotos aviacijos saugumo įsipareigojimų funkcijos užtikrinimui. Gautomis lėšomis buvo mokamas darbo užmokestis.</t>
  </si>
  <si>
    <t>Pabaigtas, patvirtintas 2024 m. vasario 29 d. Šiaulių miesto savivaldybės mero potvarkiu M-284.</t>
  </si>
  <si>
    <t>Oficialiose tarptautinėse varžybose dalyvavo šios komandos:
1. Šiaulių moterų futbolo komanda „Gintra“;
2. Šiaulių regbio komanda „Baltrex-Šiauliai“ (Baltijos čempionatas R15);
3. Šiaulių vyrų regbio komanda „Vairas-Kalvis-Jupoja-Šiauliai“ (Baltijos čempionatas R15);
4. Šiaulių vyrų regbio komanda „Šiauliai“ (Baltijos čempionatas R15);
5. Šiaulių moterų žolės riedulio komanda „Ginstrektė-ŠSG“(lauko); 
6. Šiaulių moterų žolės riedulio komanda „Ginstrektė-ŠSG“(uždarų patalpų);
7. Šiaulių vyrų žolės riedulio komanda „Ginstrektė-ŠSG“(lauko);
8. Šiaulių moterų krepšinio komanda "Šiauliai-Vilmers";
9. Šiaulių krepšinio komanda "Šiauliai";
10. Šiaulių vyrų paplūdimio tinklinio komanda;                               11. Šiaulių paplūdimio tinklinio komanda „Monika Paliukienė  – Ainė Paupelytė“.</t>
  </si>
  <si>
    <t>Šalies čempionatuose/taurės varžybose prizines vietas laimėjo šios komandos: 
1. Šiaulių regbio komanda „Baltrex-Šiauliai“ R7 – 1 v.;
2. Šiaulių moterų regbio komanda „Vairas" R7 – 1 v.;
3. Šiaulių moterų futbolo komanda „Gintra“ – 1 v.;
4. Šiaulių moterų žolės riedulio komanda „Ginstrektė – Akademija“ (lauko) – 1v.;
5. Šiaulių moterų žolės riedulio komanda „Ginstrektė – Akademija“ (uždarų patalpų) – 1 v.;
6. Šiaulių vyrų žolės riedulio komanda „Ginstrektė – Akademija“ (lauko) – 1 v.;
7. Šiaulių vyrų žolės riedulio komanda „Ginstrektė – Akademija“ (uždarų patalpų) – 3 v.;
8. Šiaulių vyrų tinklinio komanda „Elga - Grafaitė – S-Sportas“ (LT čempionatas) – 2 v;                                                                          9. Šiaulių paplūdimio tinklinio komanda „Monika Paliukienė  – Ainė Paupelytė“ - 1 v.</t>
  </si>
  <si>
    <t>Šalies čempionatuose dalyvavo šios komandos: 
1. Šiaulių regbio komanda „Baltrex – Šiauliai“  R7;
2. Šiaulių moterų regbio komanda „Baltrex" R7;
3. Šiaulių vyrų regbio komanda „Vairas – Kalvis – Jupoja – Šiauliai“ R7;
4. Šiaulių moterų regbio komanda „Vairas" R7;
5. Šiaulių vyrų regbio komanda „Šiauliai“ R7;
6.  Šiaulių moterų futbolo komanda „Gintra“ ; 
7. Šiaulių moterų žolės riedulio komanda „Ginstrektė – Akademija“ (lauko); 
8. Šiaulių moterų žolės riedulio komanda „Ginstrektė – Akademija“(uždarų patalpų);
9. Šiaulių vyrų žolės riedulio komanda „Ginstrektė – Akademija“ (lauko);
10. ŠŠiaulių vyrų žolės riedulio komanda „Ginstrektė – Akademija“ (uždarų patalpų);
11. Šiaulių vyrų tinklinio komanda „Elga - Grafaitė – S-Sportas“; 
12. Šiaulių vyrų rankinio komanda „RK Šiauliai“; 
13. Šiaulių moterų krepšinio komanda „Šiauliai-Vilmers“; 
14. Šiaulių vyrų krepšinio komanda „Šiauliai – Cazino Admiral“;
15. Šiaulių vyrų paplūdimio tinklinio komanda;                               16. Šiaulių paplūdimio tinklinio komanda „Monika Paliukienė  – Ainė Paupelytė“.</t>
  </si>
  <si>
    <t xml:space="preserve">Per 2024 m. buvo gauti 5 prašymai apmokėti  steigimo išlaidas. </t>
  </si>
  <si>
    <t>Nuo 2024 m. keitėsi būsto nuomos kompensavimo skaičiavimo metodika, todėl daliai besikreipiančių asmenų kompensacija nebepriklauso. 
Kompensaciją iš viso gavo 23 šeimos, kuriose yra 57 šeimos nariai.</t>
  </si>
  <si>
    <t>Lėšų pakako 5 įstaigų elektros instaliacijos remonto darbams.</t>
  </si>
  <si>
    <t>J. Janonio gimnazijos stogo remontas neatliktas, nes 3 kartus organizuojant viešųjų pirkimų konkursą stogo remonto darbų projektavimui nebuvo gautas nė vienas pasiūlymas.</t>
  </si>
  <si>
    <t>2024 m. dalis pirkimų vėluoja dėl užsitęsusių viešųjų pirkimų procedūrų (pvz. neįvykus pirkimui per CPO skelbiami konkursai per ŠAC. Jiems neįvykus, vykdomos rinkos konsultacijos ir tik tuomet skelbiami pakartotiniai pirkimai). Daliai prekių dėl užsitęsusių viešųjų pirkimų procedūrų vėliau nei planuota sudarytos pirkimų sutartys, todėl prekės 2024 m. nebuvo pristatytos. 
Kadangi rangos darbai vėluoja, dalies baldų, įrangos ir priemonių įsigyti nebuvo galima.</t>
  </si>
  <si>
    <t>Rodiklis nepasiektas, nes dėl projektavimo paslaugų vėlavimo neatlikti rangos darbai.</t>
  </si>
  <si>
    <t>Mažesnis rodiklis dėl 2 įstaigų reorganizacijos.</t>
  </si>
  <si>
    <t>Rodiklis viršytas dėl ugdymo įstaigų aktyvaus dalyvavimo neplanuotose sveikatinimo veiklose ir iniciatyvose.</t>
  </si>
  <si>
    <t>Rodiklis viršytas dėl aktyvaus gyventojų įsitraukimo į sveikatinimo veiklas.</t>
  </si>
  <si>
    <t>Rodiklis viršytas dėl aktyvesnės šeimos gydytojų iniciatyvos motyvuojant ir raginant gyventojus dalyvauti šioje programoje.</t>
  </si>
  <si>
    <t>Rodiklis viršytas dėl viešųjų pirkimo metu nupirktos paslaugos mažesne kaina, dėl ko suteikta daugiau paslaugų.</t>
  </si>
  <si>
    <t>Išaugęs poreikis, rodiklis viršytas dėl gyventojų motyvacijos keisti gyvenimo būdą.</t>
  </si>
  <si>
    <t>Prūdelio tvenkinyje nustačius padidėjusį žarninių enterokokų skaičių buvo atlikti papildomi tyrimai.</t>
  </si>
  <si>
    <t>Dienos socialinės globos paslaugų gavėjai su negalia  nuo metų pradžios iš viso 53 gavėjai.</t>
  </si>
  <si>
    <t>Dienos socialinės globos paslaugų gavėjai su sunkia negalia  nuo metų pradžios iš viso 396 gavėjai.</t>
  </si>
  <si>
    <t>Ilgalaikės ir trumpalaikės globos paslaugų gavėjų su negalia nuo metų pradžios iš viso 109 gavėjai.</t>
  </si>
  <si>
    <t>Ilgalaikės ir trumpalaikės globos paslaugų gavėjų su sunkia negalia nuo metų pradžios iš viso 329 gavėjai.</t>
  </si>
  <si>
    <t xml:space="preserve">Apšvietimo modernizavimo darbai baigti 2023 m. </t>
  </si>
  <si>
    <t>Asmeninės pagalbos paslaugų teikėjas - Šiaulių miesto savivaldybės Socialinių paslaugų centras.  Asmeninės pagalbos paslaugų teikimas yra finansuojamas valstybės biudžeto lėšomis, lėšos savivaldybėms paskirstytos proporcingai kiekvienoje savivaldybėje esančių asmenų su negalia skaičiui.  
Asmeninės pagalbos paslaugas gavo 36 asmenys su negalia, iš kurių 1 Ukrainos pilietis. Nuo metų pradžios asmeninę pagalbą gavusių asmenų - 47, iš jų: 1 Ukrainos pilietis, 4 asmenys gavo pagalbą nemokamai.</t>
  </si>
  <si>
    <t>Socialinių paslaugų centre aptarnautų asmenų (šeimų) nuo metų pradžios - 26300.</t>
  </si>
  <si>
    <t>Kompleksinių paslaugų namuose "Alka" teikiamos šios paslaugos:
1. Ilgalaikė socialinė globa vaikams su negalia;
2. Trumpalaikė socialinė globa vaikams su negalia;
3. Laikinas atokvėpis institucijoje ir namuose;
4. Palydėjimo paslauga jaunuoliams. 
5. Dienos užimtumo centro veikla.
6. Socialinės dirbtuvės.</t>
  </si>
  <si>
    <t>Paslaugų gavėjų skaičius nuo metų pradžios - 85.</t>
  </si>
  <si>
    <t>Padidėjus rizikos šeimų skaičiui, kurioms teikiamos paslaugos, gavėjų nuo metų pradžios - 644 asmenys.</t>
  </si>
  <si>
    <t>Įgyvendinant priemonę „Užtikrinti socialinės globos paslaugų teikimą vaikams, likusiems be tėvų globos" mokami pagalbos pinigai globėjams, kai Savivaldybės nustatytais atvejais vaikus prižiūri ar juos globoja šeimos ar budintys globotojai.  Nuo metų pradžios iš viso 194 globėjai savo šeimose globojo 253 vaikus (iš jų 25 vaikai iš Ukrainos).</t>
  </si>
  <si>
    <t>Šiaulių miesto savivaldybėje 4 šeimynose, buvo globojama 17 vaikų. Nuo metų pradžios iš viso 20 vaikų buvo globojama šeimynose.</t>
  </si>
  <si>
    <t>Socialinės reabilitacijos paslaugos neįgaliesiems bendruomenėje yra finansuojamos pagal įstaigose akredituotų vietų skaičių.  14 -oje paslaugas teikiančių NVO akredituotų vietų skaičius nuo metų pradžios buvo 474.</t>
  </si>
  <si>
    <t>Soc. reabilitacijos paslaugos suteiktos 437 asmenims, iš jų: socialinę reabilitaciją neįgaliesiems bendruomenėje gavusių vaikų su negalia skaičius - 25. Nuo metų pradžios akredituotų vietų skaičius buvo 474, faktiškai paslaugos suteiktos 452 asmenims, iš jų: socialinę reabilitaciją neįgaliesiems bendruomenėje gavusių vaikų su negalia skaičius - 25.</t>
  </si>
  <si>
    <t>10 įstaigų teikė vaikų dienos socialinės priežiūros paslaugas.</t>
  </si>
  <si>
    <t>Patenkinta 100 proc. tėvų prašymų dėl 34 vaikų su negalia dienos socialinės priežiūros paslaugų teikimo vaikų dienos centruose.</t>
  </si>
  <si>
    <t>III ketvirtį Administracijos pastate: pakeista dalis stogo; atliktas priimamajo stogelio remontas; atnaujinti vienos laiptinės turėklai; sutepti langų mechanizmai, nupirktos sandarinimo gumos, pakeistos sulūžusios rankenos; iš esmės sutvarkyti garažai ir sandėliukai, utilizuoti nereikalingi daiktai, nupirkti generatoriai (2 vnt.). Švietimo sk. pakeisti radiatoriai.
IV ketvirtį Administracijos pastato foje sumontuotos IR spindulių šildymo plokštės (2 vnt.), Miesto koordinavimo skyriaus stebėjimo kamerų patalpoje ir Informacinių technologijų poskyrio kabinete pakeistos apšvietimo sistemos, dviejuose šilumos punktuose (Vasario 16-osios g. 62) perjungti ir sinchronizuoti generatoriai (2 vnt.), iš senosios salės išvežti ir utilizuoti nereikalingi daiktai, parengtas Freskų salės interjero dizaino projektas, iš esmės suremontuota ir įrengta Civilinės metrikacijos (Varpo g. 15) virtuvės patalpa, atlikti Civilinės metrikacijos pastato stogo remonto darbai, Švietimo skyriuje (Pakalnės g. 6A) įrengta nauja patalpa virtuvėlei (pilnas remontas su virtuvės įranga), atlikti Savivaldybės administracinio pastato dekoravimo darbai  šventiniam laikotarpiui (šv. Kalėdoms).</t>
  </si>
  <si>
    <t>Kvalifikaciją užsienyje tobulinę darbuotojai</t>
  </si>
  <si>
    <t>Kreiptis į teismą poreikio nebuvo.</t>
  </si>
  <si>
    <t>Žemės paėmimo visuomenės poreikiams procedūra adresu Lyros g. 13, Šiauliuose bus vykdoma po DP korekcijos. Preliminari data 2025 metai.</t>
  </si>
  <si>
    <t>Neįvyko viešieji pirkimai (nerasta projektuotojų), bus bandoma rengti aikšteles neperkant projektavimo paslaugų</t>
  </si>
  <si>
    <t>2024-2026 m. sąraše yra patvirtinti 8 reprezentaciniai festivaliai, iš jų 2 festivaliai vyksta kas antri metai: Lietuvos, Latvijos ir Estijos kaimo muzikantų ir kapelijų festivalis „Ant rubežiaus“ ir Tarptautinis folkloro konkursas-festivalis „Saulės žiedas“.</t>
  </si>
  <si>
    <t xml:space="preserve"> Ekskursijų skaičiaus mažėjimą lėmė išaugęs gidų verslumas - dalis gidų ekskursijas ėmė organizuoti savarankiškai.</t>
  </si>
  <si>
    <t>2024 m. vežėjas surinko 30785,72 t, o 2023 m. 30812,73 t komunalinių atliekų, t.y., mažėja vežėjo komunalinių atliekų kiekis, nes gyventojai dažniau naudojasi DGASA - 2024 m. surinkta 7912,5470 t komunalinių atliekų, o 2023 m. 6710,5538 t.</t>
  </si>
  <si>
    <t>Planuota įgyvendinti Architektų g. tarp Gardino g. ir J. Jablonskio g. prie naujo dviračių ir pėsčiųjų tako želdinių inventorizacijos ir naujų sodinimo vietų parinkimo projektą (nupirkti ir pasodinti augalus), tačiau pirkimo procedūros buvo sustabdytos, nes atsirado galimybė teikti paraišką LATLIT ir 2025 metais gauti lėšų šio  projekto įgyvendinimui.</t>
  </si>
  <si>
    <t>Genėjimas vykdomas pagal planą ir poreikį.</t>
  </si>
  <si>
    <t>Pralaidos valomos esant poreikiui. 2024 m. buvo atlikta griovių gilinimo -  10 100 metrų.</t>
  </si>
  <si>
    <t>Dėl palankių oro sąlygų, buvo sumažintas poreikis intensyviems dulkėtumo mažinimo darbams.</t>
  </si>
  <si>
    <t>Miesto gatvių priežiūra priklauso nuo oro sąlygų.</t>
  </si>
  <si>
    <t>Miesto gatvių priežiūra tiesiogiai priklauso nuo oro sąlygų.</t>
  </si>
  <si>
    <t>Šaligatvių barstymas slidumą mažinančiomis priemonėmis priklauso nuo oro sąlygų.</t>
  </si>
  <si>
    <t>Prižiūrima pagal faktinį poreikį.</t>
  </si>
  <si>
    <t>41 vnt. nuolatiniam naudojimui, 290 vnt. renginiams.</t>
  </si>
  <si>
    <t>Sutaupyta atnaujinus apšvietimą į LED.</t>
  </si>
  <si>
    <t>Iš šios priemonės finansuojami įvairūs smulkūs miesto infrastruktūros objektų remonto būtini darbai. 2024 metais dėl avarinės betoninių laiptų būklės, didelė dalis lėšų buvo skirta ne suoliukų keitimui, o avarinės būklės laiptų remontui (sutvarkyti 9 avariniai lapitai)</t>
  </si>
  <si>
    <t>Daugiau duobių tvarkyta frezavimo būdu (padaroma kokybiškiau, bet mažiau)</t>
  </si>
  <si>
    <t>Vykdant asfaltavimo darbus, dalies gatvių prižiūrėti nebereikia.</t>
  </si>
  <si>
    <t>Klaidingai įrašytas planinis rodiklis. Dėl asfaltuojamų gatvių, žvyrkelių yra ženkliai sumažėję.</t>
  </si>
  <si>
    <t>Tyrimai atliekami pagal poreikį.</t>
  </si>
  <si>
    <t>Darbai planuoti per 2024-2025 m . 2024 m. atlikta apie 75 proc projektinių darbų, darbai bus tęsiami 2025 m.</t>
  </si>
  <si>
    <t>Dėl eismo srautų valdymo, rangos darbai buvo išskirstyti ir vykdomi etapais.</t>
  </si>
  <si>
    <t>Darbai baigti 2024 m gruodžio gale, neatliktas ženklinimas, kuris bus užsakomas pavasarį.</t>
  </si>
  <si>
    <t>Nebuvo pradėti vykdyti veiksmai susiję su Zoknių transformatorinės plėtra, nes ieškoma efektyvesnių ir tvaresnių būdų elektros pajėgumams užtikrinti.</t>
  </si>
  <si>
    <t xml:space="preserve">2024 m. buvo nupirktas 1 būstas (1 kambarys). </t>
  </si>
  <si>
    <t>Didėja gyventojų ir tvarkomų atliekų kiekiai</t>
  </si>
  <si>
    <t>2024 m. III  ir IV ketv. po vykusios audros buvo tvarkomi medžiai visame Šiaulių mieste.</t>
  </si>
  <si>
    <t>Atsirado daugiau įmonių, besistatančių komercinės ar pramonės ir sandėliavimo paskirties pastatus, kuriems funkcionuoti reikalinga savivaldybės infrastruktūra (vandens tiekimo ir nuotekų šalinimo tinklai bei privažiavimai iš savivaldybei priklausančių gatvių iki privačių sklypų)- kiekvienu atveju sudaroma sutartis.</t>
  </si>
  <si>
    <t>Kasmet sodinama vis daugiau daugiamečių gėlių, kurios brangesnės už vienmetes, taip pat daugiau lėšų skirta naujų gėlynų įrengimui.</t>
  </si>
  <si>
    <t>Nebuvo poreikio</t>
  </si>
  <si>
    <t>Taisomos gaisrinės saugos departamento pastabos.</t>
  </si>
  <si>
    <t>Apmokama už paviršines nuotekas UAB Šiaulių vandenys pagal perduotą paviršinių nuotekų tinklo ilgį.</t>
  </si>
  <si>
    <t>Įrengtos saugaus eismo priemonės pagal faktinį poreikį ir SEK sprendimus</t>
  </si>
  <si>
    <t>Atlikti veiksmai siekiant sukurti kapaviečių skyrimo ir leidimo laidoti proceso integraciją su el. valdžios vartuose veikiančia paslauga „Leidimo laidoti išdavimas“, tačiau paslauga dar neištestuota. Atlikta kapinių informacijos skaitmeninimo sistemos integracija su Registrų centro gyventojų registro ir E.sveikatos registro duomenų bazėmis – pasitikrinti ir automatiškai sukelti mirties liudijimo duomenis. 
Atliktas sistemos atsparumo įsilaužimui testavimas, gauta tarpinė ataskaita, pagal gautą ataskaitą ištaisytos kritinės klaidos, gauta pakoreguota testavimo ataskaita.
Įgyvendintas duomenų perdavimas Valstybės duomenų agentūrai.</t>
  </si>
  <si>
    <t>CPVA nustatė pažeidimą įgyvendinant projektą, todėl prašo dalį išmokėtos sumos grąžinti, tačiau, CPVA sprendimas apskųstas teismui, todėl susilaikyta nuo lėšų šaltinių atstatymo: anksčiau patirtos išlaidos apmokėtos savivaldybės biudžeto lėšomis, joms kompensuoti gautos paramos lėšos, tačiau neatlikti atstatymai.</t>
  </si>
  <si>
    <t>Rangos darbai Gytarių progimnazijoje baigti. 
Vykdomi rangos darbai Ragainės progimnazijoje.
Sudarytos projektavimo darbų sutartys dėl rangos darbų Salduvės progimnazijoje, S. Šalkauskio gimnazijoje ir Šiaulių universitetinėje gimnazijoje.</t>
  </si>
  <si>
    <t xml:space="preserve">Finansuoti 29 kultūros projektai. </t>
  </si>
  <si>
    <t>2024 metų Kultūros projektų dalinio finansavimo konkursui buvo pateikta 41 paraiška, Kultūros ekspertų komisija, įvertinusi paraiškas, rekomendavo finansuoti 29 projektus.</t>
  </si>
  <si>
    <t>Atnaujintos 5 aištelės, įrengtos 2 pėsčiųjų perėjos, 1 nauja tako atkarpa, 6 objektuose atnaujinti takai, jų atkarpos.</t>
  </si>
  <si>
    <t>Šiuo metu eksploatuojama 320 vnt., nebuvo poreikio.</t>
  </si>
  <si>
    <t>Tautinių mažumų bendruomenės nepateikė poreikio dėl priemonių, aktualių moterims, įgyvendinimo.</t>
  </si>
  <si>
    <t>1 projektas neatitiko administracinės atitikties vertinimo ir buvo atmestas</t>
  </si>
  <si>
    <t>Įgyvendinti projektai:  "Įtraukaus parko" žaidimo ir poilsio įrenginių įrengimas (2023 metų didysis projektas); Medelyno vaikų žaidimo aikštelės įrengimas (2024 m mažasis projektas).  Baigtas įgyvendinti 2022 m projektas ,,Skate projektai“.</t>
  </si>
  <si>
    <t xml:space="preserve">Nebuvo poreikio </t>
  </si>
  <si>
    <r>
      <t>Įgyvendinant priemonę „Didinti socialinių paslaugų prieinamumą", Savivaldybė perka ir finansuoja šias paslaugas: 
1. Socialinė priežiūra šeimoms, patiriančioms socialinę riziką (paslaugą teikia Labdaros ir paramos fondas "SOS vaikų kaimų Lietuvoje draugija" ir VŠĮ Šiaurės Lietuvos kolegija)</t>
    </r>
    <r>
      <rPr>
        <strike/>
        <sz val="10"/>
        <color rgb="FF000000"/>
        <rFont val="Times New Roman"/>
        <family val="1"/>
        <charset val="186"/>
      </rPr>
      <t xml:space="preserve"> (iš VB ir SB lėšų</t>
    </r>
    <r>
      <rPr>
        <sz val="10"/>
        <color rgb="FF000000"/>
        <rFont val="Times New Roman"/>
        <family val="1"/>
        <charset val="186"/>
      </rPr>
      <t>); 
2. Išvadų dėl asmens gebėjimo pasirūpinti savimi rengimas; 
3. Asmeninės pagalbos paslauga asmenims su negalia</t>
    </r>
    <r>
      <rPr>
        <strike/>
        <sz val="10"/>
        <color rgb="FF000000"/>
        <rFont val="Times New Roman"/>
        <family val="1"/>
        <charset val="186"/>
      </rPr>
      <t xml:space="preserve"> (iš VB lėšų</t>
    </r>
    <r>
      <rPr>
        <sz val="10"/>
        <color rgb="FF000000"/>
        <rFont val="Times New Roman"/>
        <family val="1"/>
        <charset val="186"/>
      </rPr>
      <t>) (Socialinių paslaugų centras). 
4. Socialinė priežiūra šeimoms, auginančioms vaikus iki 12 mėn. ir vaikus su negalia iki 36 mėn.
Akredituotos socialinės priežiūros paslaugos: 
1. Intensyvios krizių įveikimo pagalbos paslaugas asmeniui (šeimai), atsidūrusiems krizinėje situacijoje (VŠĮ Motinos Teresės šeimų namai); 
2. Pagalba į namus (VŠĮ Nuoširdus rūpestis, Šiaulių Vyskupijos Caritas, VŠĮ Nacionalinis socialinės integracijos institutas, VšĮ Sidabrinė pieva);  
3. Palydėjimo paslauga jaunuoliams (Kompleksinių paslaugų namai "Alka" ir VŠĮ Vilniaus SOS vaikų kaimas); 
4. Apsaugotas būstas (Šiaulių miesto savivaldybės globos namai, VŠĮ Motinos Teresės šeimų namai).</t>
    </r>
  </si>
  <si>
    <t>Parengtas Lieporių parko hidrogeologijos projektas; administracinio pastato, adresu Vasario 16-osios g. 62, Šiauliuose remonto projektinė dokumentacija; atliktas Bugailiškio namo II etapo remonto  projektavimas.</t>
  </si>
  <si>
    <t>Projektas rengiamas, darbai perkelti į 2025 m.</t>
  </si>
  <si>
    <t>Lieporių parko vaikų žaidimo aikštelės projektas rengiamas; rengti inžinerinių tinklų iškėlimo, perkėlimo, prijungimo, apsaugojimo  reikalavimų nebuvo poreikio; Dainų parko vaikų žaidimo aikštelės projektui nerasta projektuotojų.</t>
  </si>
  <si>
    <t>Parengta pirkimo užduotis, perduota Lietuvos savivaldybių asociacijai (toliau – LSA) pirkimo vykdymui</t>
  </si>
  <si>
    <t>Aplinkosauginio švietimo projektų konkursui pateiktos 4 paraiškos. Po komisijos įvertinimo finansavimas buvo skirtas 3 projektų vykdytojams, 1 projektas įtrauktas į rezervinių projektų sąrašą, nes jam finansuoti pritrūko lėšų.</t>
  </si>
  <si>
    <t>Šiaulių miesto bibliotekoms buvo įgyta 16 prenumeratų žurnalo "Miškai" ir savaitraščio "Žaliasis pasaulis". Didesnis lėšų poreikis buvo renginių organizavimui.</t>
  </si>
  <si>
    <t>8 stoginės pagal projektus įrengtos vietose, kur stoginių nebuvo ir pakeista viena sena stoginė. Kitų stoginių įrengimui sutartis sudaryta, tačiau įgyvendinimas persikėlė į 2025 m.</t>
  </si>
  <si>
    <t>Vykdyta einamoji priežiūra pagal faktinį poreikį</t>
  </si>
  <si>
    <t xml:space="preserve">Šiaulių miesto bendrojo plano koregavimas teritorijose tarp Trumpiškių, Bačiūnų, Pramonės g. ir želdynų ploto bei Šiaulių miesto administracinės ribos, Lingailių g., sklypo, kurio kadastro Nr. 2901/8001:0007, ir Bačiūnų g. Patvirtintas 2024-06-06 Šiaulių miesto tarybos sprendimu Nr. T-207.
</t>
  </si>
  <si>
    <t>Nuo 2024 m. liepos 22 d. paslaugos atlikimo terminas sustabdytas 5 mėnesiams dėl Išradėjų ir Ežero gatvių jungties panaikinimo. Koreguojama koncepcija , rengiama SPAV ataskaita.</t>
  </si>
  <si>
    <t xml:space="preserve">Detalieji planai, parengti ir patvirtinti 2024 metais:
1.	Prisikėlimo aikštės su prieigomis detaliojo plano keitimas. Patvirtintas Šiaulių miesto savivaldybės mero 2024 m. balandžio 23 d. potvarkiu M-554.
2.	Žemės sklypo J. Žemaičio g. 3, Šiauliuose detaliojo plano keitimas. Patvirtintas Šiaulių miesto savivaldybės mero 2024 m. vasario 29 d. potvarkiu M-284.
3.	Supaprastinta tvarka parengto žemės sklypo Pramonės g. 15, Šiauliuose detaliojo plano koregavimas. Patvirtintas 2023 m. lapkričio 30 d. Šiaulių miesto savivaldybės administracijos direktoriaus įsakymu Nr. A-1131.
4.	Supaprastinta tvarka parengto žemės sklypo Tilžės g. 74A, Šiauliuose, detaliojo plano koregavimas. Patvirtintas Šiaulių miesto savivaldybės mero 2024-06-14 potvarkiu Nr. M-778.
5.	Daušiškių kapinių detaliojo plano koregavimas. Patvirtintas 2024 m. vasario 15 d. Šiaulių miesto savivaldybės mero potvarkiu M-104. </t>
  </si>
  <si>
    <t>Pavasarį įvertinus būklę – nebuvo poreikio</t>
  </si>
  <si>
    <t>Parengti  šie projektai: 
1. Birutės g remontas, įrengiant takus; 
2.Sembos g  remontas, įrengiant taką;   
3. Dariaus ir Girėno g, Lieporių g remontas;  
4. Statybininkų g remontas;   
5. Daukanto g remontas, įrengiant taką;   
6. Vilniaus g. nuo miesto ribos iki Žemaitės gatvės pėsčiųjų ir dviračių takų įrengimas;                                                                          7. Pėsčiųjų dviračių tako įrengimas Bačiūnų g. geležinkelio pervažoje;                                                                                                  8. Tilžės viadukas;
9. ir 10. Žemaitės g. takas ir gatvė;     
11. Stumbro g (su verslu, darbo vietos), įskaitant taką ir žiedą Tilžės g ir Žemaitės g. ;                                                                            12. Serbentų g. (nuo Vilniaus iki Pramonės) ;    
13. Privažiavimo gatvės ties K. Donelaičio kapinėmis investiciniams sklypams projektavimas;                                       14.Aikštelės įrengimas ir įvažiavimo sutvarkymas ties Tilžės g. 40; 
15. Gardino gatvės pėsčiųjų ir dviračių tako atkarpų nuo naujos automobilių stovėjimo aikštelės iki įėjimo į Dainų parką įrengimas ir rekonstravimas;   
16. Kvartalo mokamoje zonoje (tarp A. J. Greimo, A. Mickevičiaus ir Vytauto gatvių) sutvarkymas;                                                         17. Vilniaus g. nuo Draugystės pr. iki Vilkaviškio g.  rekonstravimas;                                                                                    18. Vilniaus g. nuo Vilkaviškio g. iki miesto ribos rekonstravimas;
19. Žvyruotų gatvių asfaltavimas; 
20. Ukmergės g asfaltavimas;  
21. Palangos g asfaltavimas.</t>
  </si>
  <si>
    <t>Pradėti vykdyti V. Kudirkos g. ruožo darbai prie sankryžos su Aušros al.</t>
  </si>
  <si>
    <t>Vykdyti rangos darbai 8 objektuose, iš jų 6 objektuose dalis darbų tęsis 2025 m.: 
1. Takas/dviračių gatvė Talkšos ež. pakrantėje nuo Uosių g. iki Tilžės g.);
2.  Karaliaučiaus g. (Gegužių g. – miesto riba);
3.  Pramonės g. (Tilžės g. – Bačiūnų g.);
4.   Jono Jablonskio g. (Architektų g. – Jono Jablonskio g. 22);
5.  Aušros al. (V. Kudirkos g. – Žemaitės g.);
6.   Saulės tak. (Lieporių g. – S. Dariaus ir S. Girėno g.);
 2 objektuose fiziniai rangos darbai baigti pilnai:
1.  Takas nuo Aukštabalio g. iki Liejyklos g.
2.   Liejyklos g. (Liejyklos g. – Pramonės g.)</t>
  </si>
  <si>
    <t xml:space="preserve">Valstybinėse globos įstaigose nebuvo laisvų vietų ir nebuvo skirta iš valstybės biudžeto (tikslinės dotacijos) pakankamai lėšų. </t>
  </si>
  <si>
    <t>Iš valstybės biudžeto (tikslinės dotacijos) nebuvo skirta pakankamai lėšų.</t>
  </si>
  <si>
    <t>Dalis asmenų, kuriems galimai buvo reikalingos  paslaugos, nepasirašė sutikimo dalyvauti atvejo vadybos modelio taikyme.</t>
  </si>
  <si>
    <r>
      <t xml:space="preserve">Nuo 2024 m. liepos 1 d. įsigaliojus Socialinių paslaugų įstatymo ir poįstatyminių teisės aktų pakeitimams, laikino atokvėpio paslauga išskirta kaip atskira socialinė paslauga ir nebefinansuojama iš valstybės biudžeto dotacijų, skirtų asmenų su sunkia negalia socialinės globos paslaugoms užtikrinti. 
</t>
    </r>
    <r>
      <rPr>
        <strike/>
        <sz val="10"/>
        <rFont val="Times New Roman"/>
        <family val="1"/>
        <charset val="186"/>
      </rPr>
      <t>IV ketv.:</t>
    </r>
    <r>
      <rPr>
        <sz val="10"/>
        <rFont val="Times New Roman"/>
        <family val="1"/>
        <charset val="186"/>
      </rPr>
      <t xml:space="preserve"> Laikino atokvėpio paslaugas faktiškai gavo 18 asmenų, iš jų 7 jaunuoliai. 2024 m. laikino atokvėpio paslaugų asmenims poreikis patenkintas 100 procentų.</t>
    </r>
  </si>
  <si>
    <t>Nepatenkinti prašymai pateikti 2024 m. lapkričio - gruodžio mėn., nes asmens socialinių paslaugų poreikio vertinimai buvo gauti gruodžio mėnesio pabaigoje, tad sutartys su paslaugas teikiančiomis įstaigomis sudarytos tik 2025 m. sausio mėn</t>
  </si>
  <si>
    <t xml:space="preserve">Kraitelių nupirkta mažiau dėl sumažėjusio vaikų gimstamumo. </t>
  </si>
  <si>
    <t>1. Parengtas, sumaketuotas, apmokėtas reklaminis straipsnis žurnale "Reitingai"; 
2. Publikuotas straipsnis anglų kalba žurnale "The Baltic Times";  3. Publikuotas informacinis straipsnis apie aukštos kvalifikacijos specialistų pritraukimą įvairiuose regioninės žiniasklaidos portaluose;
4. Publikuotas straipsnis žurnale „Lietuvos pajūris“;
5. Publikuotas reklaminis straipsnis žurnale "Reitingai";                 6. Publikuotas straipsnis, vaizdo įrašas ir reklama apie paramą aukštos kvalifikacijos specialistams (Etaplius laikraštis/portalas).</t>
  </si>
  <si>
    <t>2024 m. įvyko šie reprezentaciniai sporto renginiai: 
 1.Tarptautinės sportinių šokių varžybos „Sun City Cup“;
 2. UEFA moterų čempionų lyga ir Moterų futbolo Baltijos lyga; 
 3. Lietuvos krepšinio lyga ir Karaliaus Mindaugo Taurė; 
 4. Šiaulių dviračių diena; 
 5. Europos regbio čempionatai;
 6. Europos motokroso čempionato etapas;
 7. Daviso taurės mačas ir Tarptautinės teniso federacijos antros kategorijos jaunių (iki 18) metų turnyras.                                           8. Šiaulių bėgimas.</t>
  </si>
  <si>
    <t>51 vieną ir daugiau 100 balų įvertinimą gavusiam abiturientui įteiktos  Šiaulių miesto savivaldybės premijos.</t>
  </si>
  <si>
    <t>Įgyvendintos dvi programos: Šiaulių valstybinės kolegijos programa „#Šiauliai Rodo“  ir  Vilniaus universiteto Šiaulių akademijos programa (STEAM): ugdymas lyderystei (šeštoji dalis).</t>
  </si>
  <si>
    <t xml:space="preserve">Šiaulių universitetinei gimnazijai parengtas fasado remonto projektas, Lieporių gimnazijos ir Salduvės progimnazijos nuogrindų remontas nukeltas į 2025 metus derinant darbus su stadionų renovacija. </t>
  </si>
  <si>
    <t>L/d "Drugelis", "Eglutė", "Ąžuoliukas", "Salduvė" ir Lieporių gimnazijoje atlikti elektros instaliacijos kapitaliniai ir paprastieji remonto darbai.</t>
  </si>
  <si>
    <t xml:space="preserve">Buvo pateiktos tik trys paraiškos finansavimui gauti. Visas tris paraiškas teikė Šiaulių valstybinė kolegija. </t>
  </si>
  <si>
    <t>Įgyvendinta programa ,,Gamtos laboratorija Šiauliuose“.</t>
  </si>
  <si>
    <r>
      <t xml:space="preserve">Su UAB "Šiaulių liftas" pasirašyta sutartis </t>
    </r>
    <r>
      <rPr>
        <strike/>
        <sz val="10"/>
        <color rgb="FF000000"/>
        <rFont val="Times New Roman"/>
        <family val="1"/>
        <charset val="186"/>
      </rPr>
      <t>už 34,9 tūkst. Eur</t>
    </r>
    <r>
      <rPr>
        <sz val="10"/>
        <color rgb="FF000000"/>
        <rFont val="Times New Roman"/>
        <family val="1"/>
        <charset val="186"/>
      </rPr>
      <t xml:space="preserve"> keltuvui įrengti. Dėl techninių galimybių liftą įrengti pastato viduje neįmanoma. Keltuvas pagamintas, sumontuotas ir įrengtas 2024 m. gruodžio mėn.</t>
    </r>
  </si>
  <si>
    <t>Prijungus 2 ikimokyklines įstaigas prie progimnazijų sumažėjo skaičius.</t>
  </si>
  <si>
    <t>Metų eigoje paslaugų teikėjas sumažino vykdomų programų skaičių.</t>
  </si>
  <si>
    <t>Planavo dalyvauti 60 tiekėjų, tačiau vaikų grupes sukomplektavo ir sutartis pasirašė tik 57 tiekėjai.</t>
  </si>
  <si>
    <t>Įdarbintas ir atlyginimas mokamas antrajam mokytojui.</t>
  </si>
  <si>
    <t>Vykdomi rangos darbai "Dagilėlio" dainavimo mokykloje.</t>
  </si>
  <si>
    <t xml:space="preserve">Dėl pasikeitusio lėšų paskirstymo grupių skaičius sumažėjo nuo 120 iki 93. </t>
  </si>
  <si>
    <t xml:space="preserve">Bendrojo plano koregavimas patvirtintas 2024-06-06 tarybos sprendimu Nr. T-207.
</t>
  </si>
  <si>
    <t xml:space="preserve">Specialieji planai, kurie yra bendrojo plano sudedamoji dalis, negali būti rengiami, kol nebus patvirtintas Šiaulių m. bendrasis planas.
</t>
  </si>
  <si>
    <t>Rezultatas nepasiektas dėl savivaldybės administracijos sprendimo paimti vieną sklypą visuomenės poreikiams, dėl ko rengėjai privalėjo keisti sprendinius ir iš naujo atlikti visas procedūras (ne dėl rengėjo kaltės).</t>
  </si>
  <si>
    <t>Patvirtintas 2024 m. balandžio 23 d. potvarkiu M-554.</t>
  </si>
  <si>
    <t xml:space="preserve">Paslauga nupirkta, 2024 m. sausio 10 d. pasirašyta paslaugos sutartis  su UAB ,,Archinova" Nr. SŽ-30. Paslaugos atlikimo terminas  - 1 metai.
</t>
  </si>
  <si>
    <t>Sutarties terminas 2025-03-10.  Darbai vykdomi.</t>
  </si>
  <si>
    <t>Patvirtintas 2023 m. lapkričio 30 d. Šiaulių miesto savivaldybės administracijos direktoriaus įsakymu Nr. A-1131.</t>
  </si>
  <si>
    <t>2024-05-14 pasirašyta paslaugų atlikimo sutartis SŽ-817.</t>
  </si>
  <si>
    <t xml:space="preserve">Atlikimo terminas 1 metai, dokumentas rengiamas.
</t>
  </si>
  <si>
    <t>Darbai vykdomi.</t>
  </si>
  <si>
    <t>Užbaigimas numatytas 2025-06-30, pagal 2024-10-25 papildomą susitarimą SŽ-1734 .</t>
  </si>
  <si>
    <t>Derinant rengiamo detaliojo plano sprendinius, gautas neigiamas derinimas iš Lietuvos geologijos tarnybos prie aplinkos ministerijos dėl durpynų išteklių, patenkančių į planavimo teritoriją. MŪAS pateikė prašymą geologijos tarnybai  sumažinti durpyno telkinį.</t>
  </si>
  <si>
    <t>Laukiama atsakymo iš geologijos tarnybos.</t>
  </si>
  <si>
    <t>Užbaigtas 2024-06-14 potvarkiu Nr. M-778.</t>
  </si>
  <si>
    <t>Patvirtintas 2024 m. vasario 15 d. Šiaulių miesto savivaldybės mero potvarkiu M-104. TPD Nr. T00070258.</t>
  </si>
  <si>
    <r>
      <rPr>
        <sz val="10"/>
        <rFont val="Times New Roman"/>
        <family val="1"/>
        <charset val="186"/>
      </rPr>
      <t>DP koregvima</t>
    </r>
    <r>
      <rPr>
        <sz val="10"/>
        <color rgb="FF000000"/>
        <rFont val="Times New Roman"/>
        <family val="1"/>
        <charset val="186"/>
      </rPr>
      <t>s nėra atliktas, todėl sąnaudų naudos analizė bus atliekama 2025 m.</t>
    </r>
  </si>
  <si>
    <t>I ketvirtis - parengtos 8 kadastrinių matavimų bylos, 0 žemės sklypų pertvarkymo projektų.
II ketvirtis parengtos 25 kadastrinių matavimų bylos, 15 žemės sklypų pertvarkymų projektų.
III ketvirtis parengtos 20 kadastrinių matavimų bylos, 5 žemės sklypų formavimo ir pertvarkymo projektai
IV ketvirtis  parengta 13 kadastrinių matavimų bylų, 8 žemės sklypų formavimo ir pertvarkymo projektai.</t>
  </si>
  <si>
    <t xml:space="preserve">Neįvyko viešojo pirkimo konkursas, nepateikta pasiūlymų.
Perkeltas į 2025 m. </t>
  </si>
  <si>
    <t>Atlikta pastato būklės ekspertizė.</t>
  </si>
  <si>
    <t>Ragos darbai planuojami 2025 m.</t>
  </si>
  <si>
    <t xml:space="preserve">Dauguma projektavimo sutarčių yra ekspertuojamos ir bus užbaigtos 2025 m. </t>
  </si>
  <si>
    <t xml:space="preserve">Parengta techninių projektų:
1. Santarvės gimnazija;
2.  L/d "Ežerėlis" lietaus nuotekų projektas.
</t>
  </si>
  <si>
    <r>
      <t>Projektas parengtas</t>
    </r>
    <r>
      <rPr>
        <strike/>
        <sz val="10"/>
        <color rgb="FF000000"/>
        <rFont val="Times New Roman"/>
        <family val="1"/>
        <charset val="186"/>
      </rPr>
      <t xml:space="preserve">
</t>
    </r>
  </si>
  <si>
    <t>Administracinės paskirties pastato, Vasario 16-osios g. 62, Šiaulių m., paprastojo remonto projektas (Nr. 24016; įėjimo sutvarkymo projektinė dokumentacija) parengtas.
Gautas statybą leidžiantis dokumentas Nr. LSPR-61-240315-00017. Visa dokumentacija buvo perduota Bendrųjų reikalų skyriui įgyvendinimui.</t>
  </si>
  <si>
    <t>Parengtas Teisininko, kultūros ir visuomenės veikėjo Pelikso Bugailiškio namo (unikalus kodas KVR - 10757), Šiaulių m., Žemaitės g. 83, tvarkybos darbų (remonto, restauravimo) projektas, gautas leidimas atlikti minėto objekto tvarkybos darbus iš KPD, visi dokumentai perduoti Statybos ir renovacijos skyriui rangos darbų pirkimui ir vykdymui.</t>
  </si>
  <si>
    <t>Dauguma projektų ekspertuojami.</t>
  </si>
  <si>
    <t>Negauta tiekėjų pasiūlymų, todėl pirkimas perkeltas į 2025 m.</t>
  </si>
  <si>
    <t>Parengtas administracinės paskirties pastato Vasario 16-osios g. 62, Šiauliai, paprastojo remonto projektas (2 etapas), gautas statybą leidžiantis dokumentas, visi dokumentai perduoti Statybos ir renovacijos skyriui rangos darbų pirkimui ir vykdymui.</t>
  </si>
  <si>
    <t xml:space="preserve"> Nebuvo poreikio</t>
  </si>
  <si>
    <t>Nupirkta paslauga dėl erdvinių duomenų tvarkymo ir integravimo paslaugų atlikimo, atnaujintos programinės įrangos Geomap, AkisPro.</t>
  </si>
  <si>
    <t>Išmokėtos jaunojo menininko stipendijos 4 asmenims  jų projektams įgyvendinti, 2 premijos Valstybinio Šiaulių dramos teatro kūrybiniams darbuotojams, 4 kultūros ir meno premijos, 1 kultūrinės edukacijos premija.</t>
  </si>
  <si>
    <t>Įvyko 7  Šiaulių miesto reprezentaciniai festivaliai: „Resurrexit“; „Big Band Festival Šiauliai“;  „Ant rubežiaus“; „Šiauliai gyvai“;  Chaimo Frenkelio vilos vasaros festivalis; „Šiaulių kultūros naktys“; „Virus“.</t>
  </si>
  <si>
    <t>Finansuota 19 papildomų kultūros priemonių ,  13 Tolygios kultūrinės raidos programos projektų.</t>
  </si>
  <si>
    <t>Finansuota 19 papildomų kultūros priemonių ,  13 Tolygios kultūrinės raidos programos projektų .</t>
  </si>
  <si>
    <t xml:space="preserve">Visi senosios dalies patalpų paprastojo remonto darbai užbaigti (įrengta scena, atnaujintos sienos ir lubos, sumontuota ir instaliuota scenos mechanika ir įgarsinimo įranga), gautas statybos užbaigimo aktas. </t>
  </si>
  <si>
    <t xml:space="preserve">2024 m.  numatytos veiklos buvo pergrupuotos dėl techninio projekto įsigijimo. </t>
  </si>
  <si>
    <t>Rangos darbai ir lėšos jiems atlikti perkeliami į 2025 m. (senų trinkelių demontavimas ir keitimas naujomis, asfaltuotų takų demontavimas ir keitimas trinkelėmis, dalies takų atsisakymas pasėjant žaliąją veją, fontano demontavimas, kalėdinės eglės statymo vietos įrengimas, senų suoliukų demontavimas ir naujų įrengimas, seno informacinio stendo demontavimas ir naujo įrengimas).</t>
  </si>
  <si>
    <t xml:space="preserve">Atlikti darbai: pašalinti fasado defektai, įrengta nuogrinda aplink pastatą, įrengti pėsčiųjų takai, laiptai iš 2 a. į 1 a. (avarinis išėjimas), įrengti trūkstami lietvamzdžiai, įrengta oro vėdinimo sistema, pakabinti radiatoriai, įrengtos lauko ir vidaus durys, laiptų turėklai viduje.  </t>
  </si>
  <si>
    <t>Papildomai atsiradusius / nenumatytus darbus planuojama užbaigti 2025 m.</t>
  </si>
  <si>
    <t xml:space="preserve">Atlikti visi pagrindiniai rangos darbai ir įrengti paviršinių nuotekų tinklai.
</t>
  </si>
  <si>
    <t xml:space="preserve">Konsultacijų, tyrimų, analizės paslaugas šiuo metu perka LSA. Konsultantams atlikus Šiaulių miesto situacijos analizę, bus aišku, kurioje vietoje mažos taršos zona galėtų būti, koks bus jos režimas. </t>
  </si>
  <si>
    <t>Aptarnauti vykę renginiai, šventės: Sausio 13-a, Laisvės gynėjų diena; Vasario 16-a, Lietuvos valstybės atkūrimo diena, Užgavėnių renginiai, Kovo 11-a, Lietuvos nepriklausomybės atkūrimo diena. Renginių metu pastatomi papildomi bioWC, Baltijos kelio minėjimas, Šiaulių kultūros naktys, Žolinės šventė, Šiaulių miesto gimtadienis ir įvairūs sporto renginiai.</t>
  </si>
  <si>
    <t>Vaikų žaidimo aikštelėse buvo atliekami profilaktiniai priežiūros darbai: smėlio dėžių priežiūra ir supuvusių medinių dangčių keitimas naujais, sūpuoklių sėdimųjų dalių keitimas Beržynėlyje, laipiojimo virvių keitimas ir kiti darbai.</t>
  </si>
  <si>
    <t>Prie 7 renovuotų namų sutvarkyta važiuojamoji danga ir takai, prie 6 daugiabučių tvarkyti takai (4 iš jų su gyventojų prisidėjimu), prie 23 namų atnaujinta  asfalto danga ar jos dalis (iš kurių prie 20 namų klota ištisinė asfalto danga), prie 140 namų  tvarkytos avarinės duobės (be frezavimo; prie kai kurių po kelis kartus; dauguma mokamoje zonoje).</t>
  </si>
  <si>
    <r>
      <t>Dėl ilgiau nei planuota užtrukusių integracijų sukūrimo su el. valdžios vartuose veikiančia paslauga „Leidimo laidoti išdavimas“ bei kapinių informacijos skaitmeninimo sistemos integracijos su Registrų centro gyventojų registro ir E.sveikatos registro duomenų bazėmis paslauga, nuo trečiųjų šalių priklausančių aplinkybių paslaugų atlikimas vėluoja.</t>
    </r>
    <r>
      <rPr>
        <strike/>
        <sz val="10"/>
        <rFont val="Times New Roman"/>
        <family val="1"/>
        <charset val="186"/>
      </rPr>
      <t xml:space="preserve"> </t>
    </r>
  </si>
  <si>
    <t xml:space="preserve">Valstybės kontrolė vykdo patikrinimą, po kurio gali reikėti dalį lėšų grąžinti, todėl buvo susilaikoma nuo tolimesnių lėšų šaltinių atstatymo. </t>
  </si>
  <si>
    <t>CPVA ilgiau nei įprasta derino rangos darbų viešojo pirkimo dokumentus. Rangos darbų sutartis pasirašyta 2024 m. birželio 26 d. Pasikeitusi medžių kirtimo tvarka pavėlino rangos darbų spartą. Liepos mėnesį buvo atliekami darbo projekto rengimo darbai.</t>
  </si>
  <si>
    <t>Rangos darbai buvo išskirstyti ir vykdomi etapais, darbai bus tęsiami 2025 m.</t>
  </si>
  <si>
    <t>Užsitęsus projekto projektavimui, rangos darbai pradėti nebuvo.</t>
  </si>
  <si>
    <t>Atlikti Gardino-Aido sankryžos remonto darbai.</t>
  </si>
  <si>
    <t xml:space="preserve">Vykdomas projektavimas. </t>
  </si>
  <si>
    <t>Gatvė nebus išasfaltuota 2024 m., nes užtruko viešųjų pirkimų procedūros.</t>
  </si>
  <si>
    <t>Vykdomas projektavimas.</t>
  </si>
  <si>
    <t>Buvo vykdomos viešųjų pirkimų procedūros signalizacijos įrengimui reikalingos techninės dokumentacijos parengimui. Gauti pasiūlymai su per didelėmis kainomis. Atliktas mokėjimas už el. statybos žurnalo paslaugą, atliktus geležinkelio įrengimo darbus.</t>
  </si>
  <si>
    <t>Pasirašyta bendradarbiavimo sutartis su LTG Infra, LTG Infra įvykdė vienos paslaugos, reikalingos siekiant gauti  Lietuvos transporto saugos administracijos (LTSA) leidimus, pirkimą ir vykdo kitos paslaugos viešąjį pirkimo konkursą.</t>
  </si>
  <si>
    <t>2024 m. rugpjūčio 19 d. pasirašyta rangos darbų sutartis Nr. SŽ-1324 su UAB „Požeminės sistemos“. 
Įgyvendinant priemonę atlikti visi pagrindiniai suplanuoti rangos darbai t.y. įrengti paviršinių nuotekų tinklai nuvedantys paviršinius vandenis į magistralinius paviršinių nuotekų tinklus.</t>
  </si>
  <si>
    <t>Ilgiau nei planuota užtruko rangos darbų pirkimo procedūros, nes visi pasiūlymai viršijo planuotą rangos darbų pirkimo sumą ir teko inicijuoti derybų procedūrą. Taip pat atsirado poreikis tikslinti techninę dokumentaciją. Įgyvendinant priemonę buvo susidurta su techniniais sunkumais, t.y. vykdant rangos darbus dideliame gylyje buvo rasti didelio diametro rieduliai dėl kurių ženkliai sulėtėjo vykdomų rangos darbų tempas .</t>
  </si>
  <si>
    <t xml:space="preserve">2024 metais neatsirado poreikio įsigyti krovos aikštelių veiklai reikalingą įrangą, metų eigoje šiai veiklai suplanuota didžioji dalis lėšų perkelta kitų priemonių įgyvendinimui.  Įrangos pirkimai neinicijuoti, nes bendradarbiaujama su LTG Infra, siekiant gauti LTSA (Lietuvos transporto saugos administracijos) leidimą eksploatuoti geležinkelio infrastruktūrą. Gavus reikiamus leidimus, numatoma, kad geležinkelių infrastruktūra bus perduodama valstybei. Dėl šios priežasties krovos įranga Šiaulių miesto savivaldybei būtų nereikalinga. </t>
  </si>
  <si>
    <t>Ilgiau nei planuota užtruko rangos darbų pirkimo procedūros, nes visi pasiūlymai viršijo planuotą rangos darbų pirkimo sumą ir teko inicijuoti derybų procedūrą. Taip pat atsirado poreikis tikslinti techninę dokumentaciją. Įgyvendinant priemonę buvo susidurta su techniniais sunkumais, t.y. vykdant rangos darbus dideliame gylyje buvo rasti didelio diametro rieduliai dėl kurių ženkliai sulėtėjo vykdomų rangos darbų tempas.</t>
  </si>
  <si>
    <t>Įsigytas reaktyvinio kuro užpylimo/išsiurbimo automobilis.</t>
  </si>
  <si>
    <t>Įvykdytas viešasis pirkimas dėl angarų ir oro uosto takų, esančių Aviacijos g. 5, Šiauliai, griovimo darbų su teritorijos sutvarkymu. Sutartis su laimėtojais pasirašyta 2024-10-22.</t>
  </si>
  <si>
    <t>Priemonę planuota įvykdyti III ketv., tačiau užsitęsus viešųjų pirkimų procedūroms, jos vykdymas persikėlė į IV ketvirtį.
Darbų atlikimas persikėlė į 2025 metus.</t>
  </si>
  <si>
    <t>Balandžio mėnesį vyko "Verslumo skatinimo" renginys, kuriam lėšų nereikėjo. 
III ketv: įvyko Ch. Frenkelio konferencija
IV ketv. Įvyko "Rinkodaros dirbtuvės".</t>
  </si>
  <si>
    <t xml:space="preserve">Šiais metais planuota paroda neįvyko, kitose parodose Savivaldybė nedalyvo. </t>
  </si>
  <si>
    <t>Įgyvendintas tradicinis vaikų piešinių konkursas "Aš ir mano ateities Šiauliai".</t>
  </si>
  <si>
    <t>Parengtas, apmokėtas ir publikuotas miesto istorijų ciklo viešinimo straipsnis žurnale IQ, publikuotas straipsnis apie sėkmingas investavimo istorijas ir galimybes laikraštyje ir portale "Verslo žinios", filmuota laida „Proto industrija“. Laida pasirodė spalio mėn..</t>
  </si>
  <si>
    <t>Įgyvendinta kampanija: reklama miesto ir autobusų vidaus ekranuose, Facebook tinkle, vietos laikraščiuose, portaluose, sukurta vaizdo reklama-instrukcija (keli variantai).</t>
  </si>
  <si>
    <t>Per 2024 m. iš viso atlikta 83 objektų teisinė registracija.</t>
  </si>
  <si>
    <t xml:space="preserve">Dar 35 objektams užsakyti kadastriniai matavimai. </t>
  </si>
  <si>
    <t xml:space="preserve">2024 m. buvo atlikti 6 nesudėtingų statinių griovimo darbai, adresu Užmiesčio g. 12, griovimo darbai buvo nupirkti pigiau nei planuota. Atlikti fasado apsaugos nuo konstrukcijų byrėjimo įrengimo darbai. </t>
  </si>
  <si>
    <t xml:space="preserve">Mozaikos "Šiauliai" demontavimo darbai buvo perkelti į 2025 m. </t>
  </si>
  <si>
    <t xml:space="preserve">"Arenos" remonto darbų projektavimas perkeltas į 2025 metus. </t>
  </si>
  <si>
    <t>Buvo atlikti remonto darbai objektuose, adresu Aušros al. 64 (pakeista elektros instaliacija, šiluminio punkto siurblys, stogo vėjalentės); Aušros al. 68 (pakeistas boileris, siurblys), apmokėta dalis Ginkūnų kapinių vartų remonto darbų, sporto salės „Saulė“ stogo remonto darbai.</t>
  </si>
  <si>
    <t>Per 2024 m. iš viso remonto darbai buvo atlikti 67 būstuose.</t>
  </si>
  <si>
    <t xml:space="preserve">Dalis langų ir durų keitimo darbų persikėlė ir į sekančius metus. </t>
  </si>
  <si>
    <t>Dviejose būstų pirkimo procedūrose nebuvo gauta pasiūlymų. Viena procedūra pradėta, atliktas pasiūlyme pateikto būsto vertinimas, pirkimo-pardavimo sutartis bus sudaryta 2025.</t>
  </si>
  <si>
    <t>2024 m. lapkričio mėnesį CPVA nurodė pateikti butų pirkimo sąlygas išankstinei patikrai, butų pirkimo sąlygos išankstinei patikrai pateiktos 2024 m. lapkričio 22 d. Pastabos sąlygoms gautos 2024 m. gruodžio mėnesio pabaigoje,  komisija turėjo sąlygas tikslinti pagal pateiktas pastabas ir pirkimas nebuvo paskelbtas.</t>
  </si>
  <si>
    <t>2024 m. rugpjūčio mėnesį patvirtintas projekto įgyvendinimo planas. 2024 m. rugsėjo mėnesį pasirašyta finansavimo sutartis dėl projekto finansavimo. Parengti ir pateikti reikalingi dokumentai projekto įgyvendinimui. Parengtas butų pirkimo komisijos darbo reglamentas, socialinis ekonominis pagrindimas ir butų pirkimo sąlygos.</t>
  </si>
  <si>
    <t xml:space="preserve">2024 m. rugpjūčio mėnesį patvirtintas projekto įgyvendinimo planas. 2024 m. rugsėjo mėnesį pasirašyta finansavimo sutartis dėl projekto finansavimo. Parengti ir pateikti reikalingi dokumentai projekto įgyvendinimui. Parengtas butų pirkimo komisijos darbo reglamentas, socialinis ekonominis pagrindimas ir butų pirkimo sąlygos. </t>
  </si>
  <si>
    <t xml:space="preserve">Kompensacijos buvo išmokėtos 18 šeimų. 
</t>
  </si>
  <si>
    <t xml:space="preserve">Vėliau nei planuota buvo pasirašyta rangos sutartis (3). Viešųjų pirkimų procedūros nebuvo užbaigiamos, kol nebuvo pateikta paraiška finansavimui gauti. 
</t>
  </si>
  <si>
    <t xml:space="preserve">Rangos sutartis Nr. SŽ-819 pasirašyta 2024 m. gegužės 14 d. </t>
  </si>
  <si>
    <t>Vyksta projektavimo darbai.</t>
  </si>
  <si>
    <t xml:space="preserve">Projektavimo sutartis pasirašyta tik 11 mėn., projektavimo grafikas keliasi į 2025 m.
</t>
  </si>
  <si>
    <t>Dėl rangos paslaugų vėlavimo lėšos mobilių žiūrovų tribūnai įsigyti perkeltos į 2025 m.</t>
  </si>
  <si>
    <t>10 pedagogų dalyvavo pedagogų pritraukimo programoje.  Švietimo įstaigų vadovų rezervo rengimas” įvyko 4 kvalifikacijos tobulinimo seminarai ir edukacinė išvyka į Nacionalinę švietimo agentūrą bei Vilniaus „Erudito" licėjų.  Juose dalyvavo 20 dalyvių, planuojančių pretenduoti į švietimo įstaigų vadovų, pavaduotojų ugdymui, skyrių vedėjų pareigas. Švietimo įstaigų vadovų mentorių rengimas ir mentorystės programos įgyvendinimas (III etapas)” įvyko 4 seminarai, 3 apskritojo stalo diskusijos, 2 edukacinės išvykos. Šiuose kvalifikacijos tobulinimo renginiuose dalyvavo Savivaldybės švietimo įstaigų vadovai ar vadovų komandos nariai (viso dalyvių 168). Bendrojo vertinimo modelio (BVM) diegimas Šiaulių miesto ugdymo įstaigose (II etapas)” Šiaulių miesto ugdymo įstaigose vyko 15 seminarų ir 4 konsultacijos. Šiose veiklose dalyvavo 423 dalyviai, 57 Savivaldybės švietimo įstaigos pagal bendrojo vertinimo modelio metodiką atliko veiklos kokybės savianalizę, parengė ataskaitas ir veiklos kokybės tobulinimo planus, kuriems buvo pateiktos ekspertų rekomendacijos.</t>
  </si>
  <si>
    <t xml:space="preserve">Vienas vizitas neįvyko, nes kviestinis dėstytojas negavo vizos. Studentų pateiktos paraiškos neatitiko keliamų reikalavimų. </t>
  </si>
  <si>
    <t>Įgyvendintos 32 STEAM programos (63 grupės), 12 STEAM JUNIOR programų (30 grupių): t. y. 93 grupės.</t>
  </si>
  <si>
    <t xml:space="preserve">Metų eigoje keletas paslaugų teikėjų sumažino vykdomų programų skaičių arba jų trukmę. </t>
  </si>
  <si>
    <t>Dvi ikimokyklinės įstaigos prijungtos prie progimnazijų.</t>
  </si>
  <si>
    <t xml:space="preserve">Kompensuojamas tėvų atlyginimas už vaiko išlaikymą ikimokyklinėje įstaigoje. Vidutiniškai apie 1000 vaikų kas mėnesį kompensuojamas tėvų atlyginimas.  </t>
  </si>
  <si>
    <t>6 vaikais sumažėjus Šiaulių miesto teritorijoje priregistruotų vaikų skaičiui.</t>
  </si>
  <si>
    <t>Buvo planuota įdarbinti 2 mokytojus po 0,5 etato, tačiau įdarbintas 1 mokytojas pilnu etatu.</t>
  </si>
  <si>
    <r>
      <t>6 vadovai iš Simono Daukanto inžinerijos gimnazijos, Vinco Kudirkos progimnazijos ir Švietimo skyriaus užsiregistravo į mokymus, kurie vyks 2025 m. II-III ketv.</t>
    </r>
    <r>
      <rPr>
        <strike/>
        <sz val="10"/>
        <rFont val="Times New Roman"/>
        <family val="1"/>
        <charset val="186"/>
      </rPr>
      <t xml:space="preserve"> </t>
    </r>
  </si>
  <si>
    <t xml:space="preserve">Išbetonuotos grindys, apšiltinta dalis pastato. </t>
  </si>
  <si>
    <t>Pagal grafiką suplanuoti darbai keliasi į 2025 metus.</t>
  </si>
  <si>
    <r>
      <t>Fiziniai darbai atlikti. Dokumentai perduoti registravimui.</t>
    </r>
    <r>
      <rPr>
        <strike/>
        <sz val="10"/>
        <color rgb="FF000000"/>
        <rFont val="Times New Roman"/>
        <family val="1"/>
        <charset val="186"/>
      </rPr>
      <t xml:space="preserve"> </t>
    </r>
  </si>
  <si>
    <t>Įgyvendinimas vėluoja dėl viešųjų konkursų, įrangos pirkimo procedūrų vėlavimo.</t>
  </si>
  <si>
    <t xml:space="preserve">Po viešųjų pirkimų sutartis su tiekėju pasirašyta ir darbai pradėti tik 2024 m.  liepos pradžioje. </t>
  </si>
  <si>
    <t xml:space="preserve">Dainavimo mokyklos "Dagilėlis" fasadas apšiltintas 70 proc. . Darbai pagal grafiką keliasi į 2025 m. 
</t>
  </si>
  <si>
    <t xml:space="preserve">Visi fiziniai darbai atlikti. Deklaracija tvirtinama ekspertų. </t>
  </si>
  <si>
    <t>Įrengtas ir eksploatuojamas liftas "Romuvos" progimnazijoje,  sumontuotas keltuvas neįgaliesiems Zoknių progimnazijoje, V. Kudirkos progimnazijoje įrengtas sensorinis kambarys.</t>
  </si>
  <si>
    <t>Organizuojant Salduvės progimnazijos lifto įrengimo rangos darbų pirkimo konkursą tik iš 3 karto buvo gautas 1 pasiūlymas, todėl rangos darbai užtruko ir perkelti į 2025 metus. Dailės mokykloje užsitęsė projektavimo darbai ir ekspertizė, todėl rangos darbų konkursui pasiruošta tik metų pabaigoje. Darbai numatomi 2025 metais.</t>
  </si>
  <si>
    <t>L/d ,,Vaikystė“ ir ,,Voveraitė“ išlietos dangos krepšinio aikštelėse, žaidimų aikštelės apdengtos gumine danga. Aptvertos teritorijos Gegužių, Rėkyvos, "Juventos" progimnazijose ir Jaunųjų gamtininkų centre. Įrengtos vaikų žaidimų aikštelės l/d "Voveraitė", "Kregždutė", "Vaikystė".</t>
  </si>
  <si>
    <t>L/d "Drugelis", "Ežerėlis", "Eglutė", "Pasaka", "Pupų pėdas", "Gintarėlis", "Vaikystė", "Bitė", "Žirniukas", Menų mokykloje ir Jaunųjų gamtininkų centre atliktas vamzdynų kapitalinis remontas.</t>
  </si>
  <si>
    <t>Romuvos" progimnazijai atliktas smulkus fasado remontas, L/d ,,Salduvė“ suremontuotos lauko laiptinių aikštelės.</t>
  </si>
  <si>
    <t xml:space="preserve">L/d "Salduvė" ir  "Pelėdžiukas" - fiziniai rangos darbai baigti.
</t>
  </si>
  <si>
    <t xml:space="preserve"> L/d " Ežerėlis" energetinio efektyvumo rangos darbų pirkimo sutartis sudaryta 2024-07-02, lietaus nuotekų rangos darbų pirkimo sutartis sudaryta 2024-09-16, darbai vykdomi.</t>
  </si>
  <si>
    <t>Šalintos avarinės situacijos 14-je švietimo įstaigų: Jovaro progimnazija - stogas, laiptai, pandusas; L/d ,,Berželis“, L/d ,,Žirniukas“, L/d ,,Berželis“, L/d ,,Sigutė“, L/d ,,Kregždutė“ - laiptai; S. Daukanto inžinerijos gimnazija ir Dailės mokykla - vamzdynai; ,,Sandoros“ progimnazija - padariniai po liūties ir kt.</t>
  </si>
  <si>
    <t xml:space="preserve">Dėl iš anksto nenumatytų priežasčių rangovas nespėjo pabaigti remonto darbų "Romuvos" gimnazijoje. Lėšos perkeltos į 2025 metus. </t>
  </si>
  <si>
    <t xml:space="preserve">Negautas statybą leidžiantis dokumentas. Pateikus prašymą dėl statybos leidimo išdavimo VĮ Valstybinių miškų urėdija pateikė pastabą, kad nuotekų apsaugos zona patenka į jų sklypą, o nėra derinimo. Derinimo procedūros ir atsakymo pateikimas, kad reikalinga pasirašyti servituto sutartį užtruko iki 2024 m. gruodžio 17 d. </t>
  </si>
  <si>
    <r>
      <t>Dėl užtrukusių techninio projekto rengimo procedūrų rangos darbai nebuvo pradėti vykdyti 2024 m.</t>
    </r>
    <r>
      <rPr>
        <strike/>
        <sz val="10"/>
        <color rgb="FF000000"/>
        <rFont val="Times New Roman"/>
        <family val="1"/>
        <charset val="186"/>
      </rPr>
      <t xml:space="preserve"> </t>
    </r>
  </si>
  <si>
    <t>Finansavimo sutartis pasirašyta vėliau nei buvo planuota, t.y. 2024 m. rugpjūčio 30 d. Kol nebuvo pasirašyta finansavimo sutartis, nebuvo pradėtos vykdyti projekto veiklos.</t>
  </si>
  <si>
    <t>Projekto įgyvendinimas užtruko dėl projektavimo darbų vėlavimo. Buvo planuota atlikti techninio projekto pakeitimus, siekiant sumažinti darbų sąnaudas ir ieškant ekonomiškesnių sprendimų. Tačiau, išsamiai išnagrinėjus visas galimas alternatyvas, nuspręsta grįžti prie pirminio techninio projekto.</t>
  </si>
  <si>
    <t xml:space="preserve">Lėčiau nei planuota vykdomos projekto veiklos mokyklose dėl viešųjų pirkimų subtilybių, užsitęsusių projektavimų Salduvės progimnazijoje, Šiaulių universitetinėje gimnazijoje, S. Šalkauskio gimnazijoje. 
</t>
  </si>
  <si>
    <t>Kai kurių veiklų įgyvendinimo pradžia vėlavo ir veiklos nebuvo užbaigtos 2024 m. dėl vėlavusių veiklų pradžių (dėl užsitęsusių viešųjų pirkimų procedūrų ir/ arba ilgų dokumentų derinimo su ESFA terminų).</t>
  </si>
  <si>
    <t xml:space="preserve"> Projektavimo paslaugos užtruko ilgiau nei planuota.</t>
  </si>
  <si>
    <t>Projektavimo paslaugos užtruko ilgiau nei planuota.</t>
  </si>
  <si>
    <t>Vėliau nei planuota sudaryta projektavimo paslaugų sutartis, projektavimo paslaugos vėluoja.</t>
  </si>
  <si>
    <t>Per 2024 metus pasirašytos 7 sutartys su aukštos kvalifikacijos specialistais.</t>
  </si>
  <si>
    <t>Nebuvo gauta daugiau prašymų iš aukštos kvalifikacijos specialistų, atitinkančių keliamus reiklalavimus.</t>
  </si>
  <si>
    <t xml:space="preserve">Vykdytos veiklos projekto dalyviams: individualios konsultacijos su mentoriumi, rinkodaros specialistu, pardavimo specialistu, verslo plėtojimo specialistu; 2 bendruomenės susitikimai su projekto dalyviais; 2 grupinės konsultacijos; 4 grupinės palaikomosios sesijos konsultacijos su koučeriu; 13 rinkodaros konsultacijų, 13 pardavimų konsultacijų;  10 individualių konsultacijų su programos koordinatore;  1 grupinė konsultacija; 1 bendruomenės susitikimas; 1 tinklaveikos renginys „Spiečiamės 24“; 5 palaikymo sesijos „Efektyvūs savo versle“; 20 individualių susitikimų  su mentoriumi; 2 mentorių klubo renginiai.
</t>
  </si>
  <si>
    <t xml:space="preserve">2025-01-13 pasirašyta rangos sutartis su UAB „Santjana“ dėl aktyvios ventiliacijos K-1, R-1, I-2 sistemų įrengimo užbaigimo centro 1.2 skyriuje. 2024-08-02 sudaryta rangos darbų sutartis su UAB „Konig“ dėl aktyvios ventiliacijos įrengimo centro 2.2 ir 3 skyriuose. Atlikta naujojo korpuso dalies rekuperavimo ir kondicionavimo sistemos įrengimo darbų apie 15,0 proc. </t>
  </si>
  <si>
    <t>Rangos darbai perkelti į 2025 m., darbus planuojama baigti I ketv.</t>
  </si>
  <si>
    <t>Odontologijos korpuso fasado remonto darbai atlikti.</t>
  </si>
  <si>
    <t>Darbai bus vykdomi po statybos darbų užbaigimo.</t>
  </si>
  <si>
    <t xml:space="preserve">Buvo rengiamas projektas pagal 2024-08-01 sutartį su UAB "Statinio projektavimo studija". Dėl naujo pastato statybos klausimų sustabdytas projekto rengimas, kuris perkeltas į 2025 m. </t>
  </si>
  <si>
    <t xml:space="preserve">Spręsti pastato Aido g. 16A bendrasavininkų atidalinimo ir žemės sklypo padalijimo klausimai. Dėl šių aplinkybių negalėta tęsti darbų statybos leidimui gauti bei projektavimo ekspertizei atlikti. </t>
  </si>
  <si>
    <t>Veikla įgyvendinama, patiriamos išlaidos, t. y. projekto partneriai perka medicininę įrangą, baldus, ir kompiuterinę techniką, už ją sumoka ir Šiaulių miesto savivaldybės administracijai teikia sąskaitas kompensavimui. Šiuo metu Šiaulių miesto savivaldybės administracija yra pateikusi CPVA pirkimų planą, kuris yra vertinamas ir atrinkinėjami pirkimai paskesnei patikrai. Parengta ir CPVA pateikta veiklos ataskaita derinimui.</t>
  </si>
  <si>
    <t xml:space="preserve">Projekto partneriai rengia dokumentaciją remonto darbų pirkimui. </t>
  </si>
  <si>
    <t xml:space="preserve">Vyksta rangos darbų pirkimas - vertinami pateikti pasiūlymai. CPVA pateiktas prašymas dėl projekto įgyvendinimo termino pratęsimo iki 2025 m. rugpjūčio 31 d. </t>
  </si>
  <si>
    <t>Sukurtos 4 mobilios komandos: Šiaulių centro poliklinika, Dainų PSPC,  UAB „Rezus.lt“ ir VšĮ Globos ir slaugos centras „Sidabražolė“.</t>
  </si>
  <si>
    <t>Rodiklis nepasiektas nes partneriai UAB „Rezus.lt“ ir VšĮ Globos ir slaugos centras „Sidabražolė“ vėluoja vykdyti medicininės įrangos viešųjų pirkimų konkursus.</t>
  </si>
  <si>
    <t xml:space="preserve">Šiaulių centro poliklinika ir Dainų PSPC įsigijo mobilioms komandoms skirtą įrangą. </t>
  </si>
  <si>
    <t>Rodiklis viršytas dėl įmonių aktyvesnio domėjimosi pirmosios pagalbos mokymais.</t>
  </si>
  <si>
    <t>Sudaryta 15 sveikatinimo projektų vykdymo sutarčių.</t>
  </si>
  <si>
    <t>Išaugo sveikatinimo iniciatyvose dalyvavusių asmenų skaičius.</t>
  </si>
  <si>
    <t>Vandens maudyklų kokybės stebėsena pagal nustatytą grafiką. Atlikti 59 tyrimai pagal mikrobiologinius, fizikinius ir parazitologinius parametrus.</t>
  </si>
  <si>
    <t>Užimtumo programą įgyvendina Šiaulių miesto savivaldybės Socialinių paslaugų centras. Per 2024 m. dalyvių iš viso 142, iš jų: 91 einamaisiais metais pradėjęs dalyvauti , 51 - dalyvis, pradėjęs dalyvauti praėjusiais metais ir tebedalyvaujantis, iš viso 11 asmenų įsidarbino.</t>
  </si>
  <si>
    <r>
      <t xml:space="preserve">Būsto pritaikymo darbai pagal 2024 m. pasirašytą Statybos rangos sutartį Nr. SŽ-1173 </t>
    </r>
    <r>
      <rPr>
        <strike/>
        <sz val="10"/>
        <rFont val="Times New Roman"/>
        <family val="1"/>
        <charset val="186"/>
      </rPr>
      <t>yra</t>
    </r>
    <r>
      <rPr>
        <sz val="10"/>
        <rFont val="Times New Roman"/>
        <family val="1"/>
        <charset val="186"/>
      </rPr>
      <t xml:space="preserve"> bus tęsiami 2025 m., už kuriuos bus atsiskaitoma gavus darbų atlikimo aktus, sutartyje nustatytais terminais. Už 13 savarankiškai pritaikomų būstų, kurių darbai tęsiami 2025 m., bus apmokama gavus darbų atlikimo aktus. </t>
    </r>
  </si>
  <si>
    <t>Darbai vykdomi pagal sutartis. Visiškai pritaikytų būstų asmenims, kurie būstą prisitaiko savarankiškai - 9. Eksploatuotų keltuvų (liftų) skaičius - 53.  Per 2024 m. iš viso visiškai pritaikytų būstų 31, iš jų 14 asmenims, kurie būstą prisitaiko savarankiškai, eksploatuotų keltuvų (liftų) skaičius - 53. 
Nuo 2024 metų pradžios pasirašyta 25 savarankiško būsto pritaikymo sutartys, gautų prašymų pritaikyti būstą skaičius - 100.</t>
  </si>
  <si>
    <t>Paslaugas teikia 2 partneriai VŠĮ Socialinių inovacijų centras ir Šiaurės Lietuvos Kolegija. Projekto dalyviams,suteiktos šios kompleksinės paslaugos: 
- individualios ir grupinės psichologo konsultacijos (pagal individualią asmens (šeimos) situaciją, kurie susiduria su iššūkiais, patiria sunkumų asmeniniame ir (ar) šeimoje);
- savitarpio pagalbos grupės (emocinės sveikatos stiprinimo grupės moterims, vyrams; asmenims, patiriantiems nerimą ar depresiją; asmenims, išgyvenantiems santykių krizę);
- socialinių įgūdžių grupės vaikams, paaugliams (jausmų atpažinimas ir emocinių įgūdžių ugdymas);
- tėvystės mokymų grupės (tobulinami tėvystės įgūdžiai, siekiama ugdyti geriausias tėvų ir vaikų savybes, padėti jiems atskleisti savo gebėjimus ir galimybes);
- šeimos mediacijos konsultacijos (padeda spręsti tarpusavio santykių konfliktus; išgryninti skirtingus interesus, poreikius, sąlyčio taškus, kurie padeda spręsti konfliktinius šeimos narių, skyriumi gyvenančių tėvų, tėvų-vaikų senelių ginčus);
- vaikų priežiūros paslauga (paslauga teikiama, kai tėvams teikiamos kitos kompleksinės paslaugos).
Nuo metų pradžios kompleksinės paslaugos suteiktos 1392 gavėjams.</t>
  </si>
  <si>
    <r>
      <rPr>
        <strike/>
        <sz val="10"/>
        <rFont val="Times New Roman"/>
        <family val="1"/>
        <charset val="186"/>
      </rPr>
      <t>I</t>
    </r>
    <r>
      <rPr>
        <sz val="10"/>
        <rFont val="Times New Roman"/>
        <family val="1"/>
        <charset val="186"/>
      </rPr>
      <t>Dėl padidėjusio poreikio budinčių globotojų skaičius viršijo planuotą ir nuo metų pradžios sudarė - 12.</t>
    </r>
  </si>
  <si>
    <t>Dėl padidėjusio poreikio budinčių globotojų šeimose globojamų vaikų skaičius viršijo planuotą ir nuo metų pradžios sudarė - 58.</t>
  </si>
  <si>
    <t>GIMK mokymus baigė 38 asmenys.</t>
  </si>
  <si>
    <t>Globėjų (rūpintojų) skaičius nuo metų pradžios 155.</t>
  </si>
  <si>
    <t>Projekto vykdytojas Šiaulių miesto savivaldybės Socialinių paslaugų centras per I ketv. išdalino 5238 korteles. 
 II ketv.: Šiaulių miesto savivaldybės Socialinių paslaugų centras išdalino 404 naujas korteles.
III ketv.: Šiaulių miesto savivaldybės Socialinių paslaugų centras išdalino 276 naujas korteles.
IV ketv.: Šiaulių miesto savivaldybės Socialinių paslaugų centras išdalino 214 naujų kortelių, iš viso nuo metų pradžios išdalinta 6132 kortelės.</t>
  </si>
  <si>
    <t>Inicijuota iš viso 85 atvejo vadybos modelio taikymo atvejai darbingo amžiaus asmenims su psichikos ir (ar) intelekto negalia nuo projekto pradžios.</t>
  </si>
  <si>
    <t>Atlikti visi fiziniai rangos darbai.</t>
  </si>
  <si>
    <t>Neatlikta rangos darbų registracija Registrų centre.</t>
  </si>
  <si>
    <t xml:space="preserve">Metų eigoje vykdyti projektavimo paslaugų konkursai, tačiau nebuvo gauta pasiūlymų, atlikus paskutinį rinkos tyrimą buvo gautas pasiūlymas projektą išskaidyti į atskirus objektus ir padidinti pirkimo vertę. </t>
  </si>
  <si>
    <t>Nebaigus pirkimo dokumentų derinimo iki 2024 m. pabaigos, pirkimo vykdymas persikėlė į 2025 m.</t>
  </si>
  <si>
    <t>Suorganizuota humanitarinė parama Ukrainos Chmelnyckio miestui elektros generatorių pirkimui ir pristatymui per Lietuvos Raudonojo Kryžiaus draugiją.
Suorganizuota humanitarinė parama Ukrainos Chmelnyckio miestui vandens pakaitalo, maisto skardinėse ir termorūbų pirkimui ir pristatymui per Lietuvos Raudonojo Kryžiaus draugiją 2025 metų pradžioje.</t>
  </si>
  <si>
    <t>II ketv. įsigyta 7 vnt. kompiuterinės technikos.
III ketv. įsigyta 10 vnt. kompiuterinės technikos.
IV ketv. Įsigyta 43 vnt. kompiuterinės technikos.</t>
  </si>
  <si>
    <t>Vidutiniškai kiekvienas Savivaldybės administracijos darbuotojas per 2024 m. dalyvavo 5 mokymuose. Atsižvelgiant į Administracijos darbuotojų prioritetų sąrašą buvo suorganizuoti šie mokymai: „Statinio informacijos modeliavimas BIM“, „Dirbtinis intelektas viešojo sektoriaus produktyvumui“, Anglų kalbos mokymai, Kibernetinės higienos mokymai, „Pozityvus klimatas, bendravimas ir komandinės dvasios ugdymas“, „Darbuotojų pažinimas ir motyvavimas pagal asmenybės brandą ir tipą“, „Pasirengimas ekstremaliosioms situacijoms. Pasirengimas karui ir kitiems konfliktams“, ArcGIS Online pradedantiesiems skirti mokymai, Pirmosios pagalbos mokymai.</t>
  </si>
  <si>
    <t>Įsigyta licenzijų 11 vnt. (ArcGIS HUB Premium;
Esri SLG Level 3;
Zoom;
ŽVS programa.</t>
  </si>
  <si>
    <t>Atlikti Administracijos pastato centrinio įėjimo paprastojo remonto darbai, suremontuotas koridorius link Tarybos posėdžių salės (pakeistos grindų plytelės, perdažytos sienos), pašalinta avarinės būklės administracijos tvora, perkelti ryšių laidai po žeme.
Administracijos pastate: pakeista dalis stogo; atliktas priimamajo stogelio remontas; atnaujinti vienos laiptinės turėklai; sutepti langų mechanizmai, nupirktos sandarinimo gumos, pakeistos sulūžusios rankenos; iš esmės sutvarkyti garažai ir sandėliukai, utilizuoti nereikalingi daiktai, nupirkti generatoriai (2 vnt.). Švietimo sk. pakeisti radiatoriai.
Administracijos pastato foje sumontuotos IR spindulių šildymo plokštės (2 vnt.), Miesto koordinavimo skyriaus stebėjimo kamerų patalpoje ir Informacinių technologijų poskyrio kabinete pakeistos apšvietimo sistemos, dviejuose šilumos punktuose (Vasario 16-osios g. 62) perjungti ir sinchronizuoti generatoriai (2 vnt.), iš senosios salės išvežti ir utilizuoti nereikalingi daiktai, parengtas Freskų salės interjero dizaino projektas, iš esmės suremontuota ir įrengta Civilinės metrikacijos (Varpo g. 15) virtuvės patalpa, atlikti Civilinės metrikacijos pastato stogo remonto darbai, Švietimo skyriuje (Pakalnės g. 6A) įrengta nauja patalpa virtuvėlei (pilnas remontas su virtuvės įranga), atlikti Savivaldybės administracinio pastato dekoravimo darbai  šventiniam laikotarpiui (šv. Kalėdoms).</t>
  </si>
  <si>
    <t>I pusm. pabaigoje sekėjų skaičius - 22 642 sk.
III ketv. pabaigoje sekėjų skaičius – 23 500 sk.
IV ketv. pabaigoje sekėjų skaičius – 26 000 sk.</t>
  </si>
  <si>
    <t>Įsigyta licenzijų 11 vnt. (ArcGIS HUB Premium; Esri SLG Level 3; Zoom; ŽVS programa; SIAIS Parama skaitmenizavimas ; Strapis modernizavimas; LILIS modernizavimas; SOC; Dimetris; Veeam; Trimble Connect).</t>
  </si>
  <si>
    <t>II ketv. atlikta 2 vnt. auditų (Šiaulių m. savivaldybės 2023 m. ataskaitų rinkinio audito ataskaita; Šiaulių m. gatvių, šaligatvių ir kt. teritorijų priežiūros organizavimo auditas).
III ketv. atliktas 1 auditas (Savivaldybei nuosavybės teise priklausančių gyvenamųjų patalpų būklės gerinimo (remonto) darbų organizavimo auditas).
IV ketv. atlikti 2 auditai.</t>
  </si>
  <si>
    <t xml:space="preserve">Kompensuoti gaisro Aido g. daugiabutyje padarinių šalinimo darbai; kompensuota automobilių savininkams, kurie patyrė žalą dėl liepos 29 d. kilusios audros (medis aplamdė automobilius).
</t>
  </si>
  <si>
    <r>
      <t>Perkama 500 lovų ir čiužinių, kurie turi būti pristatyti 2025 m. vasario mėn.</t>
    </r>
    <r>
      <rPr>
        <strike/>
        <sz val="10"/>
        <color rgb="FF000000"/>
        <rFont val="Times New Roman"/>
        <family val="1"/>
        <charset val="186"/>
      </rPr>
      <t xml:space="preserve"> </t>
    </r>
  </si>
  <si>
    <t xml:space="preserve">II ketv. pradėti vykdyti el. generatorių, mišrių atliekų išvežimo iš priedangų, 5 vnt. perspėjimo sirenų, 250 vnt. lovų ir miegmaišių komplektų pirkimai.
III ketv. nupirktos smulkiosios priemonės priedangoms (vaistinėlės, žibintuvėliai ir kt.). 58 generatoriai jau nupirkti ir saugomi AB Šiaulių energija; priedangų valymo paslaugos.
IV ketv. Užbaigtos įrengti 5 gyventojų perspėjimo sirenos, nupirkti ir pristatyti du nuotoliniu būdu valdomų gelbėjimo ratai, nupirkta 250 vnt. sulankstomų lovų ir miegmaišių, įsigyti įvairių priemonių rinkiniai priedangoms, tęsiamas atliekų išnešimo ir išvežimo iš priedangų paslaugų teikimas įstaigoms pagal sudarytą sutartį. </t>
  </si>
  <si>
    <t xml:space="preserve">Patvirtinta ir įgyvendinta 6 vnt. plano priemonių.
</t>
  </si>
  <si>
    <t>Dėl techninės klaidos planuota reikšmė didesnė, nei yra reali priemonių plane</t>
  </si>
  <si>
    <t>Paremtos Rėkyvos Šv. Juozapo Darbininkų ,  Šiaulių Šv. M. Marijos nekalto prasidėjimo ir Šiaulių Šv. Jurgio parapijos.</t>
  </si>
  <si>
    <t>Finansuota 11 projektų su miesto NVO.</t>
  </si>
  <si>
    <t>Projektai su Šiaulių Romuvos ir Šiaulių S. Šalkauskio gimnazijomis  įgyvendinti, įrengtos poilsio erdvės mokiniams.</t>
  </si>
  <si>
    <t xml:space="preserve">Finansuoti: 2 projektai, skirti pažymėti Lietuvos įstojimo į NATO ir Europos Sąjungos (ES) 20-metį, 159 dalyvių;
1 projektas, skirtas skatinti jaunimo ir (ar) su jaunimu dirbančių organizacijų bendradarbiavimą, kelti narių kompetencijas, 163 dalyvių;
4 projektai, skirti skatinti mažiau galimybių turinčio jaunimo įtraukimą/įsitraukimą, 511 dalyvių;
3 inovatyvūs projektai, skatinantys skaitmeninių technologijų (taikymo) plėtrą, 501 dalyvis;
1 savanorystę skatinantis projektas, 20 dalyvių. 
</t>
  </si>
  <si>
    <r>
      <t xml:space="preserve">Nebuvo poreikio </t>
    </r>
    <r>
      <rPr>
        <strike/>
        <sz val="10"/>
        <color rgb="FF000000"/>
        <rFont val="Times New Roman"/>
        <family val="1"/>
        <charset val="186"/>
      </rPr>
      <t xml:space="preserve"> </t>
    </r>
  </si>
  <si>
    <t>1. įvyko 2 įstaigų reorganizacija:  Šiaulių miesto savivaldybės tarybos 2024 m. kovo 7 d. sprendimas Nr. T-60 „Dėl pritarimo reorganizuoti Šiaulių lopšelį-darželį „Auksinis raktelis", prijungiant jį prie Šiaulių Zoknių progimnazijos" ir  Šiaulių miesto savivaldybės tarybos 2024 m. kovo 7 d. sprendimas Nr. T-61 „Dėl pritarimo reorganizuoti Šiaulių lopšelį-darželį „Žilvitis", prijungiant jį prie Šiaulių Medelyno progimnazijos".                        2. 2024 m. rugsėjo 24 d. Biuras sudarė bendradarbiavimo sutartį su UAB "Baltijos licėjus".</t>
  </si>
  <si>
    <t>Viso 02 programos priemonių</t>
  </si>
  <si>
    <t>Priemonė buvo įvykdyta pagal planą</t>
  </si>
  <si>
    <t>Vykdant priemonę buvo pasiekta vertinimo kriterijų reikšmių mažiau nei 50 %</t>
  </si>
  <si>
    <t>Vykdant priemonę buvo pasiekta vertinimo kriterijų reikšmių 50 % ir daugiau</t>
  </si>
  <si>
    <t>Vykdant priemonę buvo pasiekta daugiau vertinimo kriterijų reikšmių nei planuota</t>
  </si>
  <si>
    <t>Priemonė neįvykdyta, t.y. nepasiekta planuota vertinimo kriterijų reikšmė</t>
  </si>
  <si>
    <t>Viso priemonių:</t>
  </si>
  <si>
    <t>Viso 01 programos priemonių</t>
  </si>
  <si>
    <t>Viso 03 programos priemonių</t>
  </si>
  <si>
    <t>Viso 04 programos priemonių</t>
  </si>
  <si>
    <t>Viso 05 programos priemonių</t>
  </si>
  <si>
    <t>Viso 06 programos priemonių</t>
  </si>
  <si>
    <t>Viso 07 programos priemonių</t>
  </si>
  <si>
    <t>Viso 08 programos priemonių</t>
  </si>
  <si>
    <t>Viso 09 programos priemonių</t>
  </si>
  <si>
    <t>Viso 10 programos priemonių</t>
  </si>
  <si>
    <t>Viso 11 programos priemonių</t>
  </si>
  <si>
    <t>tūkst. Eur</t>
  </si>
  <si>
    <t>ŠIAULIŲ MIESTO SAVIVALDYBĖS 2024-2026 M. STRATEGINIO VEIKLOS PLANO PRIEMONIŲ ĮGYVENDINIMO 2024 M. ATASKAITA</t>
  </si>
  <si>
    <t>Šiaulių miesto savivaldybės 2024 metų veiklos ataskaitos priedas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</si>
</sst>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22" x14ac:knownFonts="1">
    <font>
      <sz val="11"/>
      <color rgb="FF000000"/>
      <name val="Calibri"/>
      <family val="2"/>
    </font>
    <font>
      <b/>
      <sz val="11"/>
      <color rgb="FF000000"/>
      <name val="Times New Roman"/>
      <family val="1"/>
      <charset val="186"/>
    </font>
    <font>
      <sz val="11"/>
      <color rgb="FF000000"/>
      <name val="Times New Roman"/>
      <family val="1"/>
      <charset val="186"/>
    </font>
    <font>
      <b/>
      <sz val="9"/>
      <color rgb="FF000000"/>
      <name val="Times New Roman"/>
      <family val="1"/>
      <charset val="186"/>
    </font>
    <font>
      <sz val="10"/>
      <color rgb="FF000000"/>
      <name val="Times New Roman"/>
      <family val="1"/>
      <charset val="186"/>
    </font>
    <font>
      <b/>
      <sz val="10"/>
      <color rgb="FF000000"/>
      <name val="Times New Roman"/>
      <family val="1"/>
      <charset val="186"/>
    </font>
    <font>
      <sz val="10"/>
      <color rgb="FFFF0000"/>
      <name val="Times New Roman"/>
      <family val="1"/>
      <charset val="186"/>
    </font>
    <font>
      <sz val="10"/>
      <name val="Times New Roman"/>
      <family val="1"/>
      <charset val="186"/>
    </font>
    <font>
      <sz val="11"/>
      <color rgb="FF000000"/>
      <name val="Calibri"/>
      <family val="2"/>
      <charset val="186"/>
    </font>
    <font>
      <strike/>
      <sz val="10"/>
      <color rgb="FF000000"/>
      <name val="Times New Roman"/>
      <family val="1"/>
      <charset val="186"/>
    </font>
    <font>
      <sz val="10"/>
      <color theme="1"/>
      <name val="Times New Roman"/>
      <family val="1"/>
      <charset val="186"/>
    </font>
    <font>
      <strike/>
      <sz val="10"/>
      <color theme="1"/>
      <name val="Times New Roman"/>
      <family val="1"/>
      <charset val="186"/>
    </font>
    <font>
      <sz val="11"/>
      <color rgb="FFFF0000"/>
      <name val="Times New Roman"/>
      <family val="1"/>
      <charset val="186"/>
    </font>
    <font>
      <strike/>
      <sz val="10"/>
      <name val="Times New Roman"/>
      <family val="1"/>
      <charset val="186"/>
    </font>
    <font>
      <sz val="11"/>
      <color rgb="FF000000"/>
      <name val="Calibri"/>
      <family val="2"/>
    </font>
    <font>
      <sz val="12"/>
      <color rgb="FF000000"/>
      <name val="Calibri"/>
      <family val="2"/>
      <charset val="186"/>
    </font>
    <font>
      <b/>
      <sz val="12"/>
      <name val="Times New Roman"/>
      <family val="1"/>
      <charset val="186"/>
    </font>
    <font>
      <sz val="12"/>
      <name val="Times New Roman"/>
      <family val="1"/>
      <charset val="186"/>
    </font>
    <font>
      <b/>
      <sz val="12"/>
      <color rgb="FF000000"/>
      <name val="Times New Roman"/>
      <family val="1"/>
      <charset val="186"/>
    </font>
    <font>
      <sz val="11"/>
      <name val="Times New Roman"/>
      <family val="1"/>
      <charset val="186"/>
    </font>
    <font>
      <b/>
      <sz val="10"/>
      <name val="Times New Roman"/>
      <family val="1"/>
      <charset val="186"/>
    </font>
    <font>
      <b/>
      <sz val="11.3"/>
      <name val="Times New Roman"/>
      <family val="1"/>
      <charset val="186"/>
    </font>
  </fonts>
  <fills count="17">
    <fill>
      <patternFill patternType="none"/>
    </fill>
    <fill>
      <patternFill patternType="gray125"/>
    </fill>
    <fill>
      <patternFill patternType="none">
        <fgColor rgb="FF000000"/>
        <bgColor rgb="FF000000"/>
      </patternFill>
    </fill>
    <fill>
      <patternFill patternType="solid">
        <fgColor rgb="FFD8FAD4"/>
        <bgColor rgb="FFD8FAD4"/>
      </patternFill>
    </fill>
    <fill>
      <patternFill patternType="solid">
        <fgColor rgb="FFC0E4F6"/>
        <bgColor rgb="FFC0E4F6"/>
      </patternFill>
    </fill>
    <fill>
      <patternFill patternType="solid">
        <fgColor rgb="FFFAEE80"/>
        <bgColor rgb="FFFAEE80"/>
      </patternFill>
    </fill>
    <fill>
      <patternFill patternType="solid">
        <fgColor rgb="FFEBEBEB"/>
        <bgColor rgb="FFEBEBEB"/>
      </patternFill>
    </fill>
    <fill>
      <patternFill patternType="solid">
        <fgColor rgb="FFC0E4F6"/>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rgb="FFFFCCCC"/>
        <bgColor indexed="64"/>
      </patternFill>
    </fill>
    <fill>
      <patternFill patternType="solid">
        <fgColor rgb="FFFFC000"/>
        <bgColor indexed="64"/>
      </patternFill>
    </fill>
    <fill>
      <patternFill patternType="solid">
        <fgColor theme="0" tint="-0.14999847407452621"/>
        <bgColor indexed="64"/>
      </patternFill>
    </fill>
    <fill>
      <patternFill patternType="solid">
        <fgColor theme="0"/>
        <bgColor indexed="64"/>
      </patternFill>
    </fill>
    <fill>
      <patternFill patternType="solid">
        <fgColor rgb="FFFFFF00"/>
        <bgColor indexed="64"/>
      </patternFill>
    </fill>
    <fill>
      <patternFill patternType="solid">
        <fgColor rgb="FFE2EFDA"/>
        <bgColor indexed="64"/>
      </patternFill>
    </fill>
    <fill>
      <patternFill patternType="solid">
        <fgColor rgb="FFFCE4D6"/>
        <bgColor indexed="64"/>
      </patternFill>
    </fill>
  </fills>
  <borders count="97">
    <border>
      <left/>
      <right/>
      <top/>
      <bottom/>
      <diagonal/>
    </border>
    <border>
      <left style="thin">
        <color rgb="FF000000"/>
      </left>
      <right style="thin">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thin">
        <color rgb="FF000000"/>
      </left>
      <right style="thin">
        <color rgb="FF000000"/>
      </right>
      <top style="medium">
        <color rgb="FF000000"/>
      </top>
      <bottom/>
      <diagonal/>
    </border>
    <border>
      <left style="thin">
        <color rgb="FF000000"/>
      </left>
      <right style="thin">
        <color rgb="FF000000"/>
      </right>
      <top/>
      <bottom/>
      <diagonal/>
    </border>
    <border>
      <left style="thin">
        <color rgb="FF000000"/>
      </left>
      <right style="thin">
        <color rgb="FF000000"/>
      </right>
      <top/>
      <bottom style="medium">
        <color rgb="FF000000"/>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medium">
        <color rgb="FF000000"/>
      </left>
      <right style="thin">
        <color rgb="FF000000"/>
      </right>
      <top style="medium">
        <color rgb="FF000000"/>
      </top>
      <bottom/>
      <diagonal/>
    </border>
    <border>
      <left style="medium">
        <color rgb="FF000000"/>
      </left>
      <right style="thin">
        <color rgb="FF000000"/>
      </right>
      <top/>
      <bottom/>
      <diagonal/>
    </border>
    <border>
      <left style="medium">
        <color rgb="FF000000"/>
      </left>
      <right style="thin">
        <color rgb="FF000000"/>
      </right>
      <top/>
      <bottom style="medium">
        <color rgb="FF000000"/>
      </bottom>
      <diagonal/>
    </border>
    <border>
      <left style="thin">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rgb="FF000000"/>
      </left>
      <right style="thin">
        <color rgb="FF000000"/>
      </right>
      <top style="medium">
        <color rgb="FF000000"/>
      </top>
      <bottom style="thin">
        <color indexed="64"/>
      </bottom>
      <diagonal/>
    </border>
    <border>
      <left style="thin">
        <color rgb="FF000000"/>
      </left>
      <right style="thin">
        <color rgb="FF000000"/>
      </right>
      <top style="thin">
        <color indexed="64"/>
      </top>
      <bottom style="thin">
        <color indexed="64"/>
      </bottom>
      <diagonal/>
    </border>
    <border>
      <left style="thin">
        <color indexed="64"/>
      </left>
      <right style="thin">
        <color indexed="64"/>
      </right>
      <top/>
      <bottom style="thin">
        <color indexed="64"/>
      </bottom>
      <diagonal/>
    </border>
    <border>
      <left style="thin">
        <color rgb="FF000000"/>
      </left>
      <right/>
      <top style="medium">
        <color rgb="FF000000"/>
      </top>
      <bottom/>
      <diagonal/>
    </border>
    <border>
      <left/>
      <right style="medium">
        <color rgb="FF000000"/>
      </right>
      <top style="medium">
        <color rgb="FF000000"/>
      </top>
      <bottom/>
      <diagonal/>
    </border>
    <border>
      <left style="thin">
        <color rgb="FF000000"/>
      </left>
      <right/>
      <top/>
      <bottom/>
      <diagonal/>
    </border>
    <border>
      <left/>
      <right style="medium">
        <color rgb="FF000000"/>
      </right>
      <top/>
      <bottom/>
      <diagonal/>
    </border>
    <border>
      <left style="thin">
        <color rgb="FF000000"/>
      </left>
      <right/>
      <top/>
      <bottom style="medium">
        <color rgb="FF000000"/>
      </bottom>
      <diagonal/>
    </border>
    <border>
      <left/>
      <right style="medium">
        <color rgb="FF000000"/>
      </right>
      <top/>
      <bottom style="medium">
        <color rgb="FF000000"/>
      </bottom>
      <diagonal/>
    </border>
    <border>
      <left style="thin">
        <color rgb="FF000000"/>
      </left>
      <right style="thin">
        <color rgb="FF000000"/>
      </right>
      <top/>
      <bottom style="thin">
        <color indexed="64"/>
      </bottom>
      <diagonal/>
    </border>
    <border>
      <left/>
      <right style="thin">
        <color rgb="FF000000"/>
      </right>
      <top style="medium">
        <color rgb="FF000000"/>
      </top>
      <bottom style="medium">
        <color rgb="FF000000"/>
      </bottom>
      <diagonal/>
    </border>
    <border>
      <left style="thin">
        <color rgb="FF000000"/>
      </left>
      <right style="medium">
        <color rgb="FF000000"/>
      </right>
      <top style="medium">
        <color rgb="FF000000"/>
      </top>
      <bottom/>
      <diagonal/>
    </border>
    <border>
      <left style="thin">
        <color rgb="FF000000"/>
      </left>
      <right style="medium">
        <color rgb="FF000000"/>
      </right>
      <top/>
      <bottom/>
      <diagonal/>
    </border>
    <border>
      <left style="thin">
        <color rgb="FF000000"/>
      </left>
      <right style="medium">
        <color rgb="FF000000"/>
      </right>
      <top/>
      <bottom style="medium">
        <color rgb="FF000000"/>
      </bottom>
      <diagonal/>
    </border>
    <border>
      <left style="thin">
        <color rgb="FF000000"/>
      </left>
      <right style="medium">
        <color rgb="FF000000"/>
      </right>
      <top/>
      <bottom style="thin">
        <color rgb="FF000000"/>
      </bottom>
      <diagonal/>
    </border>
    <border>
      <left style="thin">
        <color rgb="FF000000"/>
      </left>
      <right/>
      <top/>
      <bottom style="thin">
        <color rgb="FF000000"/>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000000"/>
      </left>
      <right style="thin">
        <color indexed="64"/>
      </right>
      <top style="medium">
        <color rgb="FF000000"/>
      </top>
      <bottom style="medium">
        <color rgb="FF000000"/>
      </bottom>
      <diagonal/>
    </border>
    <border>
      <left style="thin">
        <color rgb="FF000000"/>
      </left>
      <right style="thin">
        <color rgb="FF000000"/>
      </right>
      <top style="thin">
        <color rgb="FF000000"/>
      </top>
      <bottom/>
      <diagonal/>
    </border>
    <border>
      <left/>
      <right style="thin">
        <color rgb="FF000000"/>
      </right>
      <top style="medium">
        <color rgb="FF000000"/>
      </top>
      <bottom style="thin">
        <color rgb="FF000000"/>
      </bottom>
      <diagonal/>
    </border>
    <border>
      <left style="thin">
        <color rgb="FF000000"/>
      </left>
      <right style="thin">
        <color indexed="64"/>
      </right>
      <top style="medium">
        <color rgb="FF000000"/>
      </top>
      <bottom style="thin">
        <color rgb="FF000000"/>
      </bottom>
      <diagonal/>
    </border>
    <border>
      <left style="thin">
        <color rgb="FF000000"/>
      </left>
      <right style="thin">
        <color indexed="64"/>
      </right>
      <top style="thin">
        <color rgb="FF000000"/>
      </top>
      <bottom style="thin">
        <color rgb="FF000000"/>
      </bottom>
      <diagonal/>
    </border>
    <border>
      <left style="thin">
        <color rgb="FF000000"/>
      </left>
      <right style="thin">
        <color indexed="64"/>
      </right>
      <top style="thin">
        <color rgb="FF000000"/>
      </top>
      <bottom style="medium">
        <color rgb="FF000000"/>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rgb="FF000000"/>
      </top>
      <bottom style="thin">
        <color rgb="FF000000"/>
      </bottom>
      <diagonal/>
    </border>
    <border>
      <left style="thin">
        <color indexed="64"/>
      </left>
      <right style="thin">
        <color indexed="64"/>
      </right>
      <top style="thin">
        <color rgb="FF000000"/>
      </top>
      <bottom/>
      <diagonal/>
    </border>
    <border>
      <left style="thin">
        <color indexed="64"/>
      </left>
      <right style="thin">
        <color indexed="64"/>
      </right>
      <top/>
      <bottom style="medium">
        <color indexed="64"/>
      </bottom>
      <diagonal/>
    </border>
    <border>
      <left style="thin">
        <color rgb="FF000000"/>
      </left>
      <right style="medium">
        <color rgb="FF000000"/>
      </right>
      <top style="thin">
        <color rgb="FF000000"/>
      </top>
      <bottom style="thin">
        <color indexed="64"/>
      </bottom>
      <diagonal/>
    </border>
    <border>
      <left/>
      <right style="thin">
        <color rgb="FF000000"/>
      </right>
      <top style="medium">
        <color rgb="FF000000"/>
      </top>
      <bottom/>
      <diagonal/>
    </border>
    <border>
      <left/>
      <right style="thin">
        <color rgb="FF000000"/>
      </right>
      <top/>
      <bottom/>
      <diagonal/>
    </border>
    <border>
      <left/>
      <right style="thin">
        <color rgb="FF000000"/>
      </right>
      <top/>
      <bottom style="medium">
        <color rgb="FF000000"/>
      </bottom>
      <diagonal/>
    </border>
    <border>
      <left/>
      <right style="thin">
        <color rgb="FF000000"/>
      </right>
      <top style="thin">
        <color rgb="FF000000"/>
      </top>
      <bottom/>
      <diagonal/>
    </border>
    <border>
      <left style="thin">
        <color rgb="FF000000"/>
      </left>
      <right style="medium">
        <color rgb="FF000000"/>
      </right>
      <top style="thin">
        <color rgb="FF000000"/>
      </top>
      <bottom/>
      <diagonal/>
    </border>
    <border>
      <left/>
      <right/>
      <top style="medium">
        <color rgb="FF000000"/>
      </top>
      <bottom/>
      <diagonal/>
    </border>
    <border>
      <left style="medium">
        <color rgb="FF000000"/>
      </left>
      <right/>
      <top/>
      <bottom/>
      <diagonal/>
    </border>
    <border>
      <left style="thin">
        <color rgb="FF000000"/>
      </left>
      <right style="thin">
        <color rgb="FF000000"/>
      </right>
      <top style="thin">
        <color rgb="FF000000"/>
      </top>
      <bottom style="medium">
        <color indexed="64"/>
      </bottom>
      <diagonal/>
    </border>
    <border>
      <left style="thin">
        <color indexed="64"/>
      </left>
      <right style="thin">
        <color rgb="FF000000"/>
      </right>
      <top/>
      <bottom/>
      <diagonal/>
    </border>
    <border>
      <left style="thin">
        <color rgb="FF000000"/>
      </left>
      <right style="medium">
        <color rgb="FF000000"/>
      </right>
      <top style="medium">
        <color rgb="FF000000"/>
      </top>
      <bottom style="thin">
        <color indexed="64"/>
      </bottom>
      <diagonal/>
    </border>
    <border>
      <left style="thin">
        <color rgb="FF000000"/>
      </left>
      <right style="medium">
        <color rgb="FF000000"/>
      </right>
      <top style="thin">
        <color indexed="64"/>
      </top>
      <bottom/>
      <diagonal/>
    </border>
    <border>
      <left style="medium">
        <color rgb="FF000000"/>
      </left>
      <right style="thin">
        <color rgb="FF000000"/>
      </right>
      <top/>
      <bottom style="thin">
        <color rgb="FF000000"/>
      </bottom>
      <diagonal/>
    </border>
    <border>
      <left style="medium">
        <color indexed="64"/>
      </left>
      <right style="thin">
        <color rgb="FF000000"/>
      </right>
      <top style="medium">
        <color indexed="64"/>
      </top>
      <bottom style="medium">
        <color indexed="64"/>
      </bottom>
      <diagonal/>
    </border>
    <border>
      <left style="thin">
        <color rgb="FF000000"/>
      </left>
      <right style="thin">
        <color rgb="FF000000"/>
      </right>
      <top style="medium">
        <color indexed="64"/>
      </top>
      <bottom style="medium">
        <color indexed="64"/>
      </bottom>
      <diagonal/>
    </border>
    <border>
      <left style="thin">
        <color rgb="FF000000"/>
      </left>
      <right style="medium">
        <color indexed="64"/>
      </right>
      <top style="medium">
        <color indexed="64"/>
      </top>
      <bottom style="medium">
        <color indexed="64"/>
      </bottom>
      <diagonal/>
    </border>
    <border>
      <left style="thin">
        <color rgb="FF000000"/>
      </left>
      <right style="thin">
        <color rgb="FF000000"/>
      </right>
      <top style="thin">
        <color indexed="64"/>
      </top>
      <bottom/>
      <diagonal/>
    </border>
    <border>
      <left/>
      <right/>
      <top/>
      <bottom style="medium">
        <color rgb="FF000000"/>
      </bottom>
      <diagonal/>
    </border>
    <border>
      <left style="medium">
        <color indexed="64"/>
      </left>
      <right style="thin">
        <color rgb="FF000000"/>
      </right>
      <top style="medium">
        <color indexed="64"/>
      </top>
      <bottom/>
      <diagonal/>
    </border>
    <border>
      <left style="thin">
        <color rgb="FF000000"/>
      </left>
      <right style="thin">
        <color rgb="FF000000"/>
      </right>
      <top style="medium">
        <color indexed="64"/>
      </top>
      <bottom/>
      <diagonal/>
    </border>
    <border>
      <left style="thin">
        <color rgb="FF000000"/>
      </left>
      <right style="thin">
        <color rgb="FF000000"/>
      </right>
      <top style="medium">
        <color indexed="64"/>
      </top>
      <bottom style="thin">
        <color rgb="FF000000"/>
      </bottom>
      <diagonal/>
    </border>
    <border>
      <left style="thin">
        <color indexed="64"/>
      </left>
      <right style="thin">
        <color rgb="FF000000"/>
      </right>
      <top style="medium">
        <color indexed="64"/>
      </top>
      <bottom/>
      <diagonal/>
    </border>
    <border>
      <left style="thin">
        <color rgb="FF000000"/>
      </left>
      <right style="medium">
        <color indexed="64"/>
      </right>
      <top style="medium">
        <color indexed="64"/>
      </top>
      <bottom/>
      <diagonal/>
    </border>
    <border>
      <left style="medium">
        <color indexed="64"/>
      </left>
      <right style="thin">
        <color rgb="FF000000"/>
      </right>
      <top/>
      <bottom/>
      <diagonal/>
    </border>
    <border>
      <left style="thin">
        <color rgb="FF000000"/>
      </left>
      <right style="medium">
        <color indexed="64"/>
      </right>
      <top/>
      <bottom/>
      <diagonal/>
    </border>
    <border>
      <left style="medium">
        <color indexed="64"/>
      </left>
      <right style="thin">
        <color rgb="FF000000"/>
      </right>
      <top/>
      <bottom style="medium">
        <color indexed="64"/>
      </bottom>
      <diagonal/>
    </border>
    <border>
      <left style="thin">
        <color rgb="FF000000"/>
      </left>
      <right style="thin">
        <color rgb="FF000000"/>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rgb="FF000000"/>
      </right>
      <top/>
      <bottom style="medium">
        <color indexed="64"/>
      </bottom>
      <diagonal/>
    </border>
    <border>
      <left style="thin">
        <color rgb="FF000000"/>
      </left>
      <right style="medium">
        <color indexed="64"/>
      </right>
      <top/>
      <bottom style="medium">
        <color indexed="64"/>
      </bottom>
      <diagonal/>
    </border>
    <border>
      <left style="thin">
        <color rgb="FF000000"/>
      </left>
      <right style="medium">
        <color rgb="FF000000"/>
      </right>
      <top/>
      <bottom style="medium">
        <color indexed="64"/>
      </bottom>
      <diagonal/>
    </border>
    <border>
      <left style="thin">
        <color rgb="FF000000"/>
      </left>
      <right style="medium">
        <color rgb="FF000000"/>
      </right>
      <top style="medium">
        <color indexed="64"/>
      </top>
      <bottom/>
      <diagonal/>
    </border>
    <border>
      <left style="thin">
        <color indexed="64"/>
      </left>
      <right style="thin">
        <color rgb="FF000000"/>
      </right>
      <top style="thin">
        <color rgb="FF000000"/>
      </top>
      <bottom/>
      <diagonal/>
    </border>
    <border>
      <left style="thin">
        <color indexed="64"/>
      </left>
      <right style="thin">
        <color rgb="FF000000"/>
      </right>
      <top/>
      <bottom style="medium">
        <color rgb="FF000000"/>
      </bottom>
      <diagonal/>
    </border>
    <border>
      <left style="thin">
        <color rgb="FF000000"/>
      </left>
      <right style="thin">
        <color indexed="64"/>
      </right>
      <top style="thin">
        <color rgb="FF000000"/>
      </top>
      <bottom/>
      <diagonal/>
    </border>
    <border>
      <left/>
      <right style="medium">
        <color indexed="64"/>
      </right>
      <top style="thin">
        <color indexed="64"/>
      </top>
      <bottom/>
      <diagonal/>
    </border>
    <border>
      <left/>
      <right style="thin">
        <color rgb="FF000000"/>
      </right>
      <top/>
      <bottom style="medium">
        <color indexed="64"/>
      </bottom>
      <diagonal/>
    </border>
    <border>
      <left style="thin">
        <color rgb="FF000000"/>
      </left>
      <right style="thin">
        <color indexed="64"/>
      </right>
      <top/>
      <bottom style="medium">
        <color indexed="64"/>
      </bottom>
      <diagonal/>
    </border>
    <border>
      <left/>
      <right style="medium">
        <color indexed="64"/>
      </right>
      <top/>
      <bottom style="medium">
        <color indexed="64"/>
      </bottom>
      <diagonal/>
    </border>
    <border>
      <left/>
      <right style="thin">
        <color rgb="FF000000"/>
      </right>
      <top style="medium">
        <color indexed="64"/>
      </top>
      <bottom/>
      <diagonal/>
    </border>
    <border>
      <left/>
      <right/>
      <top style="medium">
        <color indexed="64"/>
      </top>
      <bottom/>
      <diagonal/>
    </border>
    <border>
      <left style="thin">
        <color rgb="FF000000"/>
      </left>
      <right style="medium">
        <color indexed="64"/>
      </right>
      <top style="medium">
        <color indexed="64"/>
      </top>
      <bottom style="thin">
        <color rgb="FF000000"/>
      </bottom>
      <diagonal/>
    </border>
    <border>
      <left style="thin">
        <color rgb="FF000000"/>
      </left>
      <right style="medium">
        <color indexed="64"/>
      </right>
      <top style="thin">
        <color rgb="FF000000"/>
      </top>
      <bottom style="thin">
        <color rgb="FF000000"/>
      </bottom>
      <diagonal/>
    </border>
    <border>
      <left style="thin">
        <color rgb="FF000000"/>
      </left>
      <right style="medium">
        <color indexed="64"/>
      </right>
      <top style="thin">
        <color rgb="FF000000"/>
      </top>
      <bottom style="medium">
        <color indexed="64"/>
      </bottom>
      <diagonal/>
    </border>
    <border>
      <left style="medium">
        <color rgb="FF000000"/>
      </left>
      <right/>
      <top/>
      <bottom style="thin">
        <color indexed="64"/>
      </bottom>
      <diagonal/>
    </border>
    <border>
      <left style="medium">
        <color indexed="64"/>
      </left>
      <right/>
      <top/>
      <bottom style="thin">
        <color indexed="64"/>
      </bottom>
      <diagonal/>
    </border>
  </borders>
  <cellStyleXfs count="2">
    <xf numFmtId="0" fontId="0" fillId="0" borderId="0" applyBorder="0"/>
    <xf numFmtId="0" fontId="14" fillId="2" borderId="0" applyBorder="0"/>
  </cellStyleXfs>
  <cellXfs count="488">
    <xf numFmtId="0" fontId="0" fillId="0" borderId="0" xfId="0"/>
    <xf numFmtId="0" fontId="2" fillId="0" borderId="0" xfId="0" applyFont="1"/>
    <xf numFmtId="0" fontId="2" fillId="2" borderId="0" xfId="0" applyFont="1" applyFill="1" applyAlignment="1">
      <alignment horizontal="center"/>
    </xf>
    <xf numFmtId="0" fontId="1" fillId="2" borderId="0" xfId="0" applyFont="1" applyFill="1" applyAlignment="1">
      <alignment horizontal="center"/>
    </xf>
    <xf numFmtId="0" fontId="3" fillId="0" borderId="3" xfId="0" applyFont="1" applyBorder="1" applyAlignment="1">
      <alignment horizontal="center" readingOrder="1"/>
    </xf>
    <xf numFmtId="0" fontId="4" fillId="5" borderId="7" xfId="0" applyFont="1" applyFill="1" applyBorder="1" applyAlignment="1" applyProtection="1">
      <alignment vertical="top" readingOrder="1"/>
      <protection locked="0"/>
    </xf>
    <xf numFmtId="0" fontId="4" fillId="5" borderId="8" xfId="0" applyFont="1" applyFill="1" applyBorder="1" applyAlignment="1" applyProtection="1">
      <alignment horizontal="left" vertical="top" readingOrder="1"/>
      <protection locked="0"/>
    </xf>
    <xf numFmtId="164" fontId="4" fillId="5" borderId="8" xfId="0" applyNumberFormat="1" applyFont="1" applyFill="1" applyBorder="1" applyAlignment="1">
      <alignment horizontal="right" vertical="top" readingOrder="1"/>
    </xf>
    <xf numFmtId="0" fontId="4" fillId="4" borderId="7" xfId="0" applyFont="1" applyFill="1" applyBorder="1" applyAlignment="1" applyProtection="1">
      <alignment vertical="top" readingOrder="1"/>
      <protection locked="0"/>
    </xf>
    <xf numFmtId="0" fontId="4" fillId="4" borderId="8" xfId="0" applyFont="1" applyFill="1" applyBorder="1" applyAlignment="1" applyProtection="1">
      <alignment horizontal="left" vertical="top" readingOrder="1"/>
      <protection locked="0"/>
    </xf>
    <xf numFmtId="164" fontId="4" fillId="4" borderId="8" xfId="0" applyNumberFormat="1" applyFont="1" applyFill="1" applyBorder="1" applyAlignment="1">
      <alignment horizontal="right" vertical="top" readingOrder="1"/>
    </xf>
    <xf numFmtId="0" fontId="4" fillId="4" borderId="8" xfId="0" applyFont="1" applyFill="1" applyBorder="1" applyAlignment="1" applyProtection="1">
      <alignment horizontal="center" vertical="top" readingOrder="1"/>
      <protection locked="0"/>
    </xf>
    <xf numFmtId="0" fontId="4" fillId="4" borderId="8" xfId="0" applyFont="1" applyFill="1" applyBorder="1" applyAlignment="1" applyProtection="1">
      <alignment horizontal="right" vertical="top" readingOrder="1"/>
      <protection locked="0"/>
    </xf>
    <xf numFmtId="0" fontId="4" fillId="3" borderId="7" xfId="0" applyFont="1" applyFill="1" applyBorder="1" applyAlignment="1" applyProtection="1">
      <alignment vertical="top" readingOrder="1"/>
      <protection locked="0"/>
    </xf>
    <xf numFmtId="0" fontId="4" fillId="3" borderId="8" xfId="0" applyFont="1" applyFill="1" applyBorder="1" applyAlignment="1" applyProtection="1">
      <alignment horizontal="left" vertical="top" readingOrder="1"/>
      <protection locked="0"/>
    </xf>
    <xf numFmtId="164" fontId="4" fillId="3" borderId="8" xfId="0" applyNumberFormat="1" applyFont="1" applyFill="1" applyBorder="1" applyAlignment="1">
      <alignment horizontal="right" vertical="top" readingOrder="1"/>
    </xf>
    <xf numFmtId="0" fontId="4" fillId="0" borderId="7" xfId="0" applyFont="1" applyBorder="1" applyAlignment="1" applyProtection="1">
      <alignment vertical="top" readingOrder="1"/>
      <protection locked="0"/>
    </xf>
    <xf numFmtId="0" fontId="4" fillId="0" borderId="8" xfId="0" applyFont="1" applyBorder="1" applyAlignment="1" applyProtection="1">
      <alignment horizontal="left" vertical="top" readingOrder="1"/>
      <protection locked="0"/>
    </xf>
    <xf numFmtId="164" fontId="4" fillId="0" borderId="8" xfId="0" applyNumberFormat="1" applyFont="1" applyBorder="1" applyAlignment="1">
      <alignment horizontal="right" vertical="top" readingOrder="1"/>
    </xf>
    <xf numFmtId="0" fontId="4" fillId="0" borderId="8" xfId="0" applyFont="1" applyBorder="1" applyAlignment="1" applyProtection="1">
      <alignment horizontal="center" vertical="top" readingOrder="1"/>
      <protection locked="0"/>
    </xf>
    <xf numFmtId="0" fontId="4" fillId="0" borderId="8" xfId="0" applyFont="1" applyBorder="1" applyAlignment="1" applyProtection="1">
      <alignment horizontal="right" vertical="top" readingOrder="1"/>
      <protection locked="0"/>
    </xf>
    <xf numFmtId="0" fontId="4" fillId="0" borderId="1" xfId="0" applyFont="1" applyBorder="1" applyAlignment="1" applyProtection="1">
      <alignment vertical="top" readingOrder="1"/>
      <protection locked="0"/>
    </xf>
    <xf numFmtId="0" fontId="4" fillId="0" borderId="1" xfId="0" applyFont="1" applyBorder="1" applyAlignment="1" applyProtection="1">
      <alignment horizontal="left" vertical="top" readingOrder="1"/>
      <protection locked="0"/>
    </xf>
    <xf numFmtId="164" fontId="4" fillId="0" borderId="1" xfId="0" applyNumberFormat="1" applyFont="1" applyBorder="1" applyAlignment="1" applyProtection="1">
      <alignment horizontal="right" vertical="top" readingOrder="1"/>
      <protection locked="0"/>
    </xf>
    <xf numFmtId="0" fontId="4" fillId="0" borderId="1" xfId="0" applyFont="1" applyBorder="1" applyAlignment="1" applyProtection="1">
      <alignment horizontal="center" vertical="top" readingOrder="1"/>
      <protection locked="0"/>
    </xf>
    <xf numFmtId="0" fontId="4" fillId="0" borderId="1" xfId="0" applyFont="1" applyBorder="1" applyAlignment="1" applyProtection="1">
      <alignment horizontal="right" vertical="top" readingOrder="1"/>
      <protection locked="0"/>
    </xf>
    <xf numFmtId="164" fontId="4" fillId="0" borderId="8" xfId="0" applyNumberFormat="1" applyFont="1" applyBorder="1" applyAlignment="1" applyProtection="1">
      <alignment horizontal="right" vertical="top" readingOrder="1"/>
      <protection locked="0"/>
    </xf>
    <xf numFmtId="0" fontId="4" fillId="0" borderId="3" xfId="0" applyFont="1" applyBorder="1" applyAlignment="1" applyProtection="1">
      <alignment horizontal="left" vertical="top" readingOrder="1"/>
      <protection locked="0"/>
    </xf>
    <xf numFmtId="164" fontId="4" fillId="0" borderId="3" xfId="0" applyNumberFormat="1" applyFont="1" applyBorder="1" applyAlignment="1" applyProtection="1">
      <alignment horizontal="right" vertical="top" readingOrder="1"/>
      <protection locked="0"/>
    </xf>
    <xf numFmtId="0" fontId="4" fillId="0" borderId="3" xfId="0" applyFont="1" applyBorder="1" applyAlignment="1" applyProtection="1">
      <alignment horizontal="right" vertical="top" readingOrder="1"/>
      <protection locked="0"/>
    </xf>
    <xf numFmtId="0" fontId="4" fillId="2" borderId="0" xfId="0" applyFont="1" applyFill="1" applyAlignment="1" applyProtection="1">
      <alignment vertical="top" readingOrder="1"/>
      <protection locked="0"/>
    </xf>
    <xf numFmtId="0" fontId="4" fillId="2" borderId="0" xfId="0" applyFont="1" applyFill="1" applyAlignment="1" applyProtection="1">
      <alignment horizontal="left" vertical="top" readingOrder="1"/>
      <protection locked="0"/>
    </xf>
    <xf numFmtId="164" fontId="4" fillId="2" borderId="0" xfId="0" applyNumberFormat="1" applyFont="1" applyFill="1" applyAlignment="1" applyProtection="1">
      <alignment horizontal="right" vertical="top" readingOrder="1"/>
      <protection locked="0"/>
    </xf>
    <xf numFmtId="0" fontId="4" fillId="2" borderId="0" xfId="0" applyFont="1" applyFill="1" applyAlignment="1" applyProtection="1">
      <alignment horizontal="center" vertical="top" readingOrder="1"/>
      <protection locked="0"/>
    </xf>
    <xf numFmtId="0" fontId="4" fillId="2" borderId="0" xfId="0" applyFont="1" applyFill="1" applyAlignment="1" applyProtection="1">
      <alignment horizontal="right" vertical="top" readingOrder="1"/>
      <protection locked="0"/>
    </xf>
    <xf numFmtId="0" fontId="2" fillId="2" borderId="0" xfId="0" applyFont="1" applyFill="1"/>
    <xf numFmtId="164" fontId="4" fillId="0" borderId="1" xfId="0" applyNumberFormat="1" applyFont="1" applyBorder="1" applyAlignment="1">
      <alignment horizontal="right" vertical="top" readingOrder="1"/>
    </xf>
    <xf numFmtId="0" fontId="5" fillId="6" borderId="1" xfId="0" applyFont="1" applyFill="1" applyBorder="1" applyAlignment="1" applyProtection="1">
      <alignment vertical="top" readingOrder="1"/>
      <protection locked="0"/>
    </xf>
    <xf numFmtId="164" fontId="5" fillId="6" borderId="1" xfId="0" applyNumberFormat="1" applyFont="1" applyFill="1" applyBorder="1" applyAlignment="1">
      <alignment horizontal="right" vertical="top" readingOrder="1"/>
    </xf>
    <xf numFmtId="0" fontId="4" fillId="5" borderId="8" xfId="0" applyFont="1" applyFill="1" applyBorder="1" applyAlignment="1" applyProtection="1">
      <alignment vertical="top" wrapText="1" readingOrder="1"/>
      <protection locked="0"/>
    </xf>
    <xf numFmtId="0" fontId="4" fillId="4" borderId="8" xfId="0" applyFont="1" applyFill="1" applyBorder="1" applyAlignment="1" applyProtection="1">
      <alignment vertical="top" wrapText="1" readingOrder="1"/>
      <protection locked="0"/>
    </xf>
    <xf numFmtId="0" fontId="4" fillId="3" borderId="8" xfId="0" applyFont="1" applyFill="1" applyBorder="1" applyAlignment="1" applyProtection="1">
      <alignment vertical="top" wrapText="1" readingOrder="1"/>
      <protection locked="0"/>
    </xf>
    <xf numFmtId="0" fontId="4" fillId="0" borderId="8" xfId="0" applyFont="1" applyBorder="1" applyAlignment="1" applyProtection="1">
      <alignment vertical="top" wrapText="1" readingOrder="1"/>
      <protection locked="0"/>
    </xf>
    <xf numFmtId="0" fontId="4" fillId="0" borderId="1" xfId="0" applyFont="1" applyBorder="1" applyAlignment="1" applyProtection="1">
      <alignment vertical="top" wrapText="1" readingOrder="1"/>
      <protection locked="0"/>
    </xf>
    <xf numFmtId="0" fontId="2" fillId="0" borderId="0" xfId="0" applyFont="1" applyAlignment="1">
      <alignment wrapText="1"/>
    </xf>
    <xf numFmtId="0" fontId="4" fillId="2" borderId="0" xfId="0" applyFont="1" applyFill="1" applyAlignment="1" applyProtection="1">
      <alignment vertical="top" wrapText="1" readingOrder="1"/>
      <protection locked="0"/>
    </xf>
    <xf numFmtId="0" fontId="5" fillId="6" borderId="1" xfId="0" applyFont="1" applyFill="1" applyBorder="1" applyAlignment="1" applyProtection="1">
      <alignment horizontal="right" vertical="top" wrapText="1" readingOrder="1"/>
      <protection locked="0"/>
    </xf>
    <xf numFmtId="0" fontId="4" fillId="4" borderId="8" xfId="0" applyFont="1" applyFill="1" applyBorder="1" applyAlignment="1" applyProtection="1">
      <alignment horizontal="left" vertical="top" wrapText="1" readingOrder="1"/>
      <protection locked="0"/>
    </xf>
    <xf numFmtId="0" fontId="4" fillId="0" borderId="8" xfId="0" applyFont="1" applyBorder="1" applyAlignment="1" applyProtection="1">
      <alignment horizontal="left" vertical="top" wrapText="1" readingOrder="1"/>
      <protection locked="0"/>
    </xf>
    <xf numFmtId="0" fontId="4" fillId="0" borderId="1" xfId="0" applyFont="1" applyBorder="1" applyAlignment="1" applyProtection="1">
      <alignment horizontal="left" vertical="top" wrapText="1" readingOrder="1"/>
      <protection locked="0"/>
    </xf>
    <xf numFmtId="0" fontId="4" fillId="2" borderId="0" xfId="0" applyFont="1" applyFill="1" applyAlignment="1" applyProtection="1">
      <alignment horizontal="left" vertical="top" wrapText="1" readingOrder="1"/>
      <protection locked="0"/>
    </xf>
    <xf numFmtId="0" fontId="4" fillId="3" borderId="9" xfId="0" applyFont="1" applyFill="1" applyBorder="1" applyAlignment="1" applyProtection="1">
      <alignment horizontal="left" vertical="top" wrapText="1" readingOrder="1"/>
      <protection locked="0"/>
    </xf>
    <xf numFmtId="0" fontId="4" fillId="0" borderId="9" xfId="0" applyFont="1" applyBorder="1" applyAlignment="1" applyProtection="1">
      <alignment horizontal="left" vertical="top" wrapText="1" readingOrder="1"/>
      <protection locked="0"/>
    </xf>
    <xf numFmtId="0" fontId="4" fillId="0" borderId="6" xfId="0" applyFont="1" applyBorder="1" applyAlignment="1" applyProtection="1">
      <alignment horizontal="left" vertical="top" wrapText="1" readingOrder="1"/>
      <protection locked="0"/>
    </xf>
    <xf numFmtId="164" fontId="4" fillId="0" borderId="14" xfId="0" applyNumberFormat="1" applyFont="1" applyBorder="1" applyAlignment="1" applyProtection="1">
      <alignment horizontal="right" vertical="top" readingOrder="1"/>
      <protection locked="0"/>
    </xf>
    <xf numFmtId="0" fontId="4" fillId="0" borderId="15" xfId="0" applyFont="1" applyBorder="1" applyAlignment="1" applyProtection="1">
      <alignment horizontal="left" vertical="top" wrapText="1" readingOrder="1"/>
      <protection locked="0"/>
    </xf>
    <xf numFmtId="0" fontId="4" fillId="0" borderId="0" xfId="0" applyFont="1" applyBorder="1" applyAlignment="1">
      <alignment wrapText="1"/>
    </xf>
    <xf numFmtId="0" fontId="4" fillId="4" borderId="10" xfId="0" applyFont="1" applyFill="1" applyBorder="1" applyAlignment="1" applyProtection="1">
      <alignment horizontal="left" vertical="top" readingOrder="1"/>
      <protection locked="0"/>
    </xf>
    <xf numFmtId="164" fontId="4" fillId="4" borderId="10" xfId="0" applyNumberFormat="1" applyFont="1" applyFill="1" applyBorder="1" applyAlignment="1">
      <alignment horizontal="right" vertical="top" readingOrder="1"/>
    </xf>
    <xf numFmtId="0" fontId="4" fillId="4" borderId="16" xfId="0" applyFont="1" applyFill="1" applyBorder="1" applyAlignment="1" applyProtection="1">
      <alignment horizontal="left" vertical="top" readingOrder="1"/>
      <protection locked="0"/>
    </xf>
    <xf numFmtId="0" fontId="4" fillId="4" borderId="13" xfId="0" applyFont="1" applyFill="1" applyBorder="1" applyAlignment="1" applyProtection="1">
      <alignment horizontal="left" vertical="top" readingOrder="1"/>
      <protection locked="0"/>
    </xf>
    <xf numFmtId="0" fontId="4" fillId="7" borderId="15" xfId="0" applyFont="1" applyFill="1" applyBorder="1" applyAlignment="1" applyProtection="1">
      <alignment horizontal="left" vertical="top" wrapText="1" readingOrder="1"/>
      <protection locked="0"/>
    </xf>
    <xf numFmtId="0" fontId="4" fillId="7" borderId="1" xfId="0" applyFont="1" applyFill="1" applyBorder="1" applyAlignment="1" applyProtection="1">
      <alignment horizontal="center" vertical="top" readingOrder="1"/>
      <protection locked="0"/>
    </xf>
    <xf numFmtId="0" fontId="4" fillId="7" borderId="1" xfId="0" applyFont="1" applyFill="1" applyBorder="1" applyAlignment="1" applyProtection="1">
      <alignment horizontal="right" vertical="top" readingOrder="1"/>
      <protection locked="0"/>
    </xf>
    <xf numFmtId="0" fontId="4" fillId="7" borderId="1" xfId="0" applyFont="1" applyFill="1" applyBorder="1" applyAlignment="1" applyProtection="1">
      <alignment horizontal="left" vertical="top" wrapText="1" readingOrder="1"/>
      <protection locked="0"/>
    </xf>
    <xf numFmtId="0" fontId="4" fillId="7" borderId="1" xfId="0" applyFont="1" applyFill="1" applyBorder="1" applyAlignment="1" applyProtection="1">
      <alignment horizontal="left" vertical="top" readingOrder="1"/>
      <protection locked="0"/>
    </xf>
    <xf numFmtId="164" fontId="4" fillId="7" borderId="1" xfId="0" applyNumberFormat="1" applyFont="1" applyFill="1" applyBorder="1" applyAlignment="1" applyProtection="1">
      <alignment horizontal="right" vertical="top" readingOrder="1"/>
      <protection locked="0"/>
    </xf>
    <xf numFmtId="0" fontId="4" fillId="0" borderId="1" xfId="0" applyFont="1" applyBorder="1" applyAlignment="1" applyProtection="1">
      <alignment horizontal="center" vertical="top" wrapText="1" readingOrder="1"/>
      <protection locked="0"/>
    </xf>
    <xf numFmtId="0" fontId="4" fillId="0" borderId="7" xfId="0" applyFont="1" applyBorder="1" applyAlignment="1" applyProtection="1">
      <alignment horizontal="left" vertical="top" readingOrder="1"/>
      <protection locked="0"/>
    </xf>
    <xf numFmtId="0" fontId="4" fillId="0" borderId="34" xfId="0" applyFont="1" applyBorder="1" applyAlignment="1" applyProtection="1">
      <alignment horizontal="left" vertical="top" wrapText="1" readingOrder="1"/>
      <protection locked="0"/>
    </xf>
    <xf numFmtId="0" fontId="4" fillId="0" borderId="10" xfId="0" applyFont="1" applyBorder="1" applyAlignment="1" applyProtection="1">
      <alignment horizontal="left" vertical="top" wrapText="1" readingOrder="1"/>
      <protection locked="0"/>
    </xf>
    <xf numFmtId="0" fontId="4" fillId="0" borderId="14" xfId="0" applyFont="1" applyBorder="1" applyAlignment="1" applyProtection="1">
      <alignment horizontal="left" vertical="top" wrapText="1" readingOrder="1"/>
      <protection locked="0"/>
    </xf>
    <xf numFmtId="0" fontId="4" fillId="0" borderId="37" xfId="0" applyFont="1" applyBorder="1" applyAlignment="1" applyProtection="1">
      <alignment horizontal="left" vertical="top" wrapText="1" readingOrder="1"/>
      <protection locked="0"/>
    </xf>
    <xf numFmtId="0" fontId="4" fillId="0" borderId="13" xfId="0" applyFont="1" applyBorder="1" applyAlignment="1" applyProtection="1">
      <alignment horizontal="left" vertical="top" wrapText="1" readingOrder="1"/>
      <protection locked="0"/>
    </xf>
    <xf numFmtId="0" fontId="4" fillId="0" borderId="10" xfId="0" applyFont="1" applyBorder="1" applyAlignment="1" applyProtection="1">
      <alignment horizontal="center" vertical="top" readingOrder="1"/>
      <protection locked="0"/>
    </xf>
    <xf numFmtId="0" fontId="4" fillId="0" borderId="10" xfId="0" applyFont="1" applyBorder="1" applyAlignment="1" applyProtection="1">
      <alignment horizontal="right" vertical="top" readingOrder="1"/>
      <protection locked="0"/>
    </xf>
    <xf numFmtId="0" fontId="4" fillId="0" borderId="16" xfId="0" applyFont="1" applyBorder="1" applyAlignment="1" applyProtection="1">
      <alignment horizontal="left" vertical="top" wrapText="1" readingOrder="1"/>
      <protection locked="0"/>
    </xf>
    <xf numFmtId="0" fontId="4" fillId="0" borderId="16" xfId="0" applyFont="1" applyBorder="1" applyAlignment="1" applyProtection="1">
      <alignment horizontal="center" vertical="top" readingOrder="1"/>
      <protection locked="0"/>
    </xf>
    <xf numFmtId="0" fontId="4" fillId="0" borderId="16" xfId="0" applyFont="1" applyBorder="1" applyAlignment="1" applyProtection="1">
      <alignment horizontal="right" vertical="top" readingOrder="1"/>
      <protection locked="0"/>
    </xf>
    <xf numFmtId="0" fontId="4" fillId="0" borderId="38" xfId="0" applyFont="1" applyBorder="1" applyAlignment="1" applyProtection="1">
      <alignment horizontal="left" vertical="top" wrapText="1" readingOrder="1"/>
      <protection locked="0"/>
    </xf>
    <xf numFmtId="0" fontId="4" fillId="0" borderId="43" xfId="0" applyFont="1" applyBorder="1" applyAlignment="1" applyProtection="1">
      <alignment horizontal="left" vertical="top" wrapText="1" readingOrder="1"/>
      <protection locked="0"/>
    </xf>
    <xf numFmtId="164" fontId="4" fillId="0" borderId="44" xfId="0" applyNumberFormat="1" applyFont="1" applyBorder="1" applyAlignment="1">
      <alignment horizontal="right" vertical="top" readingOrder="1"/>
    </xf>
    <xf numFmtId="164" fontId="4" fillId="0" borderId="45" xfId="0" applyNumberFormat="1" applyFont="1" applyBorder="1" applyAlignment="1" applyProtection="1">
      <alignment horizontal="right" vertical="top" readingOrder="1"/>
      <protection locked="0"/>
    </xf>
    <xf numFmtId="164" fontId="4" fillId="0" borderId="46" xfId="0" applyNumberFormat="1" applyFont="1" applyBorder="1" applyAlignment="1" applyProtection="1">
      <alignment horizontal="right" vertical="top" readingOrder="1"/>
      <protection locked="0"/>
    </xf>
    <xf numFmtId="0" fontId="7" fillId="0" borderId="9" xfId="0" applyFont="1" applyBorder="1" applyAlignment="1" applyProtection="1">
      <alignment horizontal="left" vertical="top" wrapText="1" readingOrder="1"/>
      <protection locked="0"/>
    </xf>
    <xf numFmtId="0" fontId="7" fillId="0" borderId="1" xfId="0" applyFont="1" applyBorder="1" applyAlignment="1" applyProtection="1">
      <alignment horizontal="left" vertical="top" wrapText="1" readingOrder="1"/>
      <protection locked="0"/>
    </xf>
    <xf numFmtId="0" fontId="4" fillId="0" borderId="51" xfId="0" applyFont="1" applyBorder="1" applyAlignment="1" applyProtection="1">
      <alignment horizontal="left" vertical="top" wrapText="1" readingOrder="1"/>
      <protection locked="0"/>
    </xf>
    <xf numFmtId="0" fontId="8" fillId="0" borderId="0" xfId="0" applyFont="1" applyAlignment="1">
      <alignment vertical="center"/>
    </xf>
    <xf numFmtId="0" fontId="8" fillId="0" borderId="0" xfId="0" applyFont="1" applyBorder="1" applyAlignment="1">
      <alignment horizontal="right" vertical="center"/>
    </xf>
    <xf numFmtId="0" fontId="4" fillId="0" borderId="0" xfId="0" applyFont="1" applyBorder="1" applyAlignment="1">
      <alignment vertical="center"/>
    </xf>
    <xf numFmtId="0" fontId="2" fillId="0" borderId="0" xfId="0" applyFont="1" applyBorder="1"/>
    <xf numFmtId="0" fontId="4" fillId="0" borderId="0" xfId="0" applyFont="1" applyBorder="1" applyAlignment="1">
      <alignment vertical="center" wrapText="1"/>
    </xf>
    <xf numFmtId="0" fontId="2" fillId="0" borderId="0" xfId="0" applyFont="1" applyAlignment="1">
      <alignment horizontal="center"/>
    </xf>
    <xf numFmtId="0" fontId="7" fillId="4" borderId="8" xfId="0" applyFont="1" applyFill="1" applyBorder="1" applyAlignment="1" applyProtection="1">
      <alignment horizontal="center" vertical="top" readingOrder="1"/>
      <protection locked="0"/>
    </xf>
    <xf numFmtId="3" fontId="4" fillId="0" borderId="1" xfId="0" applyNumberFormat="1" applyFont="1" applyBorder="1" applyAlignment="1" applyProtection="1">
      <alignment horizontal="center" vertical="top" readingOrder="1"/>
      <protection locked="0"/>
    </xf>
    <xf numFmtId="3" fontId="4" fillId="7" borderId="1" xfId="0" applyNumberFormat="1" applyFont="1" applyFill="1" applyBorder="1" applyAlignment="1" applyProtection="1">
      <alignment horizontal="center" vertical="top" readingOrder="1"/>
      <protection locked="0"/>
    </xf>
    <xf numFmtId="3" fontId="4" fillId="4" borderId="8" xfId="0" applyNumberFormat="1" applyFont="1" applyFill="1" applyBorder="1" applyAlignment="1" applyProtection="1">
      <alignment horizontal="center" vertical="top" readingOrder="1"/>
      <protection locked="0"/>
    </xf>
    <xf numFmtId="164" fontId="4" fillId="4" borderId="8" xfId="0" applyNumberFormat="1" applyFont="1" applyFill="1" applyBorder="1" applyAlignment="1" applyProtection="1">
      <alignment horizontal="center" vertical="top" readingOrder="1"/>
      <protection locked="0"/>
    </xf>
    <xf numFmtId="3" fontId="4" fillId="0" borderId="8" xfId="0" applyNumberFormat="1" applyFont="1" applyBorder="1" applyAlignment="1" applyProtection="1">
      <alignment horizontal="center" vertical="top" readingOrder="1"/>
      <protection locked="0"/>
    </xf>
    <xf numFmtId="165" fontId="4" fillId="4" borderId="8" xfId="0" applyNumberFormat="1" applyFont="1" applyFill="1" applyBorder="1" applyAlignment="1" applyProtection="1">
      <alignment horizontal="center" vertical="top" readingOrder="1"/>
      <protection locked="0"/>
    </xf>
    <xf numFmtId="3" fontId="4" fillId="0" borderId="16" xfId="0" applyNumberFormat="1" applyFont="1" applyBorder="1" applyAlignment="1" applyProtection="1">
      <alignment horizontal="center" vertical="top" readingOrder="1"/>
      <protection locked="0"/>
    </xf>
    <xf numFmtId="165" fontId="4" fillId="7" borderId="1" xfId="0" applyNumberFormat="1" applyFont="1" applyFill="1" applyBorder="1" applyAlignment="1" applyProtection="1">
      <alignment horizontal="center" vertical="top" readingOrder="1"/>
      <protection locked="0"/>
    </xf>
    <xf numFmtId="0" fontId="7" fillId="7" borderId="1" xfId="0" applyFont="1" applyFill="1" applyBorder="1" applyAlignment="1" applyProtection="1">
      <alignment horizontal="center" vertical="top" readingOrder="1"/>
      <protection locked="0"/>
    </xf>
    <xf numFmtId="0" fontId="4" fillId="8" borderId="1" xfId="0" applyFont="1" applyFill="1" applyBorder="1" applyAlignment="1" applyProtection="1">
      <alignment horizontal="center" vertical="top" readingOrder="1"/>
      <protection locked="0"/>
    </xf>
    <xf numFmtId="0" fontId="4" fillId="9" borderId="1" xfId="0" applyFont="1" applyFill="1" applyBorder="1" applyAlignment="1" applyProtection="1">
      <alignment horizontal="center" vertical="top" readingOrder="1"/>
      <protection locked="0"/>
    </xf>
    <xf numFmtId="0" fontId="4" fillId="10" borderId="1" xfId="0" applyFont="1" applyFill="1" applyBorder="1" applyAlignment="1" applyProtection="1">
      <alignment horizontal="center" vertical="top" readingOrder="1"/>
      <protection locked="0"/>
    </xf>
    <xf numFmtId="0" fontId="4" fillId="8" borderId="8" xfId="0" applyFont="1" applyFill="1" applyBorder="1" applyAlignment="1" applyProtection="1">
      <alignment horizontal="center" vertical="top" readingOrder="1"/>
      <protection locked="0"/>
    </xf>
    <xf numFmtId="0" fontId="4" fillId="11" borderId="8" xfId="0" applyFont="1" applyFill="1" applyBorder="1" applyAlignment="1" applyProtection="1">
      <alignment horizontal="center" vertical="top" readingOrder="1"/>
      <protection locked="0"/>
    </xf>
    <xf numFmtId="0" fontId="4" fillId="12" borderId="8" xfId="0" applyFont="1" applyFill="1" applyBorder="1" applyAlignment="1" applyProtection="1">
      <alignment horizontal="center" vertical="top" readingOrder="1"/>
      <protection locked="0"/>
    </xf>
    <xf numFmtId="0" fontId="4" fillId="11" borderId="1" xfId="0" applyFont="1" applyFill="1" applyBorder="1" applyAlignment="1" applyProtection="1">
      <alignment horizontal="center" vertical="top" readingOrder="1"/>
      <protection locked="0"/>
    </xf>
    <xf numFmtId="0" fontId="4" fillId="12" borderId="1" xfId="0" applyFont="1" applyFill="1" applyBorder="1" applyAlignment="1" applyProtection="1">
      <alignment horizontal="center" vertical="top" readingOrder="1"/>
      <protection locked="0"/>
    </xf>
    <xf numFmtId="0" fontId="4" fillId="9" borderId="8" xfId="0" applyFont="1" applyFill="1" applyBorder="1" applyAlignment="1" applyProtection="1">
      <alignment horizontal="center" vertical="top" readingOrder="1"/>
      <protection locked="0"/>
    </xf>
    <xf numFmtId="0" fontId="4" fillId="10" borderId="8" xfId="0" applyFont="1" applyFill="1" applyBorder="1" applyAlignment="1" applyProtection="1">
      <alignment horizontal="center" vertical="top" readingOrder="1"/>
      <protection locked="0"/>
    </xf>
    <xf numFmtId="0" fontId="11" fillId="0" borderId="8" xfId="0" applyFont="1" applyBorder="1" applyAlignment="1" applyProtection="1">
      <alignment horizontal="left" vertical="top" wrapText="1" readingOrder="1"/>
      <protection locked="0"/>
    </xf>
    <xf numFmtId="3" fontId="4" fillId="12" borderId="1" xfId="0" applyNumberFormat="1" applyFont="1" applyFill="1" applyBorder="1" applyAlignment="1" applyProtection="1">
      <alignment horizontal="center" vertical="top" readingOrder="1"/>
      <protection locked="0"/>
    </xf>
    <xf numFmtId="0" fontId="6" fillId="0" borderId="9" xfId="0" applyFont="1" applyBorder="1" applyAlignment="1" applyProtection="1">
      <alignment horizontal="left" vertical="top" wrapText="1" readingOrder="1"/>
      <protection locked="0"/>
    </xf>
    <xf numFmtId="0" fontId="4" fillId="13" borderId="8" xfId="0" applyFont="1" applyFill="1" applyBorder="1" applyAlignment="1" applyProtection="1">
      <alignment horizontal="left" vertical="top" wrapText="1" readingOrder="1"/>
      <protection locked="0"/>
    </xf>
    <xf numFmtId="0" fontId="4" fillId="13" borderId="9" xfId="0" applyFont="1" applyFill="1" applyBorder="1" applyAlignment="1" applyProtection="1">
      <alignment horizontal="left" vertical="top" wrapText="1" readingOrder="1"/>
      <protection locked="0"/>
    </xf>
    <xf numFmtId="0" fontId="4" fillId="13" borderId="1" xfId="0" applyFont="1" applyFill="1" applyBorder="1" applyAlignment="1" applyProtection="1">
      <alignment horizontal="left" vertical="top" wrapText="1" readingOrder="1"/>
      <protection locked="0"/>
    </xf>
    <xf numFmtId="0" fontId="4" fillId="13" borderId="6" xfId="0" applyFont="1" applyFill="1" applyBorder="1" applyAlignment="1" applyProtection="1">
      <alignment horizontal="left" vertical="top" wrapText="1" readingOrder="1"/>
      <protection locked="0"/>
    </xf>
    <xf numFmtId="0" fontId="9" fillId="0" borderId="9" xfId="0" applyFont="1" applyBorder="1" applyAlignment="1" applyProtection="1">
      <alignment horizontal="left" vertical="top" wrapText="1" readingOrder="1"/>
      <protection locked="0"/>
    </xf>
    <xf numFmtId="0" fontId="7" fillId="0" borderId="7" xfId="0" applyFont="1" applyBorder="1" applyAlignment="1" applyProtection="1">
      <alignment vertical="top" readingOrder="1"/>
      <protection locked="0"/>
    </xf>
    <xf numFmtId="0" fontId="7" fillId="0" borderId="8" xfId="0" applyFont="1" applyBorder="1" applyAlignment="1" applyProtection="1">
      <alignment vertical="top" wrapText="1" readingOrder="1"/>
      <protection locked="0"/>
    </xf>
    <xf numFmtId="0" fontId="7" fillId="0" borderId="8" xfId="0" applyFont="1" applyBorder="1" applyAlignment="1" applyProtection="1">
      <alignment horizontal="left" vertical="top" readingOrder="1"/>
      <protection locked="0"/>
    </xf>
    <xf numFmtId="164" fontId="7" fillId="0" borderId="8" xfId="0" applyNumberFormat="1" applyFont="1" applyBorder="1" applyAlignment="1" applyProtection="1">
      <alignment horizontal="right" vertical="top" readingOrder="1"/>
      <protection locked="0"/>
    </xf>
    <xf numFmtId="3" fontId="7" fillId="4" borderId="8" xfId="0" applyNumberFormat="1" applyFont="1" applyFill="1" applyBorder="1" applyAlignment="1" applyProtection="1">
      <alignment horizontal="center" vertical="top" readingOrder="1"/>
      <protection locked="0"/>
    </xf>
    <xf numFmtId="0" fontId="10" fillId="8" borderId="1" xfId="0" applyFont="1" applyFill="1" applyBorder="1" applyAlignment="1" applyProtection="1">
      <alignment horizontal="center" vertical="top" readingOrder="1"/>
      <protection locked="0"/>
    </xf>
    <xf numFmtId="3" fontId="4" fillId="9" borderId="1" xfId="0" applyNumberFormat="1" applyFont="1" applyFill="1" applyBorder="1" applyAlignment="1" applyProtection="1">
      <alignment horizontal="center" vertical="top" readingOrder="1"/>
      <protection locked="0"/>
    </xf>
    <xf numFmtId="3" fontId="4" fillId="9" borderId="8" xfId="0" applyNumberFormat="1" applyFont="1" applyFill="1" applyBorder="1" applyAlignment="1" applyProtection="1">
      <alignment horizontal="center" vertical="top" readingOrder="1"/>
      <protection locked="0"/>
    </xf>
    <xf numFmtId="164" fontId="4" fillId="12" borderId="8" xfId="0" applyNumberFormat="1" applyFont="1" applyFill="1" applyBorder="1" applyAlignment="1" applyProtection="1">
      <alignment horizontal="center" vertical="top" readingOrder="1"/>
      <protection locked="0"/>
    </xf>
    <xf numFmtId="164" fontId="4" fillId="11" borderId="8" xfId="0" applyNumberFormat="1" applyFont="1" applyFill="1" applyBorder="1" applyAlignment="1" applyProtection="1">
      <alignment horizontal="center" vertical="top" readingOrder="1"/>
      <protection locked="0"/>
    </xf>
    <xf numFmtId="3" fontId="4" fillId="11" borderId="1" xfId="0" applyNumberFormat="1" applyFont="1" applyFill="1" applyBorder="1" applyAlignment="1" applyProtection="1">
      <alignment horizontal="center" vertical="top" readingOrder="1"/>
      <protection locked="0"/>
    </xf>
    <xf numFmtId="165" fontId="4" fillId="11" borderId="8" xfId="0" applyNumberFormat="1" applyFont="1" applyFill="1" applyBorder="1" applyAlignment="1" applyProtection="1">
      <alignment horizontal="center" vertical="top" readingOrder="1"/>
      <protection locked="0"/>
    </xf>
    <xf numFmtId="165" fontId="4" fillId="12" borderId="8" xfId="0" applyNumberFormat="1" applyFont="1" applyFill="1" applyBorder="1" applyAlignment="1" applyProtection="1">
      <alignment horizontal="center" vertical="top" readingOrder="1"/>
      <protection locked="0"/>
    </xf>
    <xf numFmtId="3" fontId="4" fillId="10" borderId="1" xfId="0" applyNumberFormat="1" applyFont="1" applyFill="1" applyBorder="1" applyAlignment="1" applyProtection="1">
      <alignment horizontal="center" vertical="top" readingOrder="1"/>
      <protection locked="0"/>
    </xf>
    <xf numFmtId="3" fontId="4" fillId="12" borderId="8" xfId="0" applyNumberFormat="1" applyFont="1" applyFill="1" applyBorder="1" applyAlignment="1" applyProtection="1">
      <alignment horizontal="center" vertical="top" readingOrder="1"/>
      <protection locked="0"/>
    </xf>
    <xf numFmtId="3" fontId="4" fillId="11" borderId="8" xfId="0" applyNumberFormat="1" applyFont="1" applyFill="1" applyBorder="1" applyAlignment="1" applyProtection="1">
      <alignment horizontal="center" vertical="top" readingOrder="1"/>
      <protection locked="0"/>
    </xf>
    <xf numFmtId="1" fontId="4" fillId="11" borderId="1" xfId="0" applyNumberFormat="1" applyFont="1" applyFill="1" applyBorder="1" applyAlignment="1" applyProtection="1">
      <alignment horizontal="center" vertical="top" readingOrder="1"/>
      <protection locked="0"/>
    </xf>
    <xf numFmtId="0" fontId="4" fillId="9" borderId="10" xfId="0" applyFont="1" applyFill="1" applyBorder="1" applyAlignment="1" applyProtection="1">
      <alignment horizontal="center" vertical="top" readingOrder="1"/>
      <protection locked="0"/>
    </xf>
    <xf numFmtId="165" fontId="4" fillId="11" borderId="1" xfId="0" applyNumberFormat="1" applyFont="1" applyFill="1" applyBorder="1" applyAlignment="1" applyProtection="1">
      <alignment horizontal="center" vertical="top" readingOrder="1"/>
      <protection locked="0"/>
    </xf>
    <xf numFmtId="165" fontId="4" fillId="12" borderId="1" xfId="0" applyNumberFormat="1" applyFont="1" applyFill="1" applyBorder="1" applyAlignment="1" applyProtection="1">
      <alignment horizontal="center" vertical="top" readingOrder="1"/>
      <protection locked="0"/>
    </xf>
    <xf numFmtId="0" fontId="7" fillId="9" borderId="8" xfId="0" applyFont="1" applyFill="1" applyBorder="1" applyAlignment="1" applyProtection="1">
      <alignment horizontal="center" vertical="top" readingOrder="1"/>
      <protection locked="0"/>
    </xf>
    <xf numFmtId="3" fontId="4" fillId="12" borderId="16" xfId="0" applyNumberFormat="1" applyFont="1" applyFill="1" applyBorder="1" applyAlignment="1" applyProtection="1">
      <alignment horizontal="center" vertical="top" readingOrder="1"/>
      <protection locked="0"/>
    </xf>
    <xf numFmtId="0" fontId="9" fillId="0" borderId="6" xfId="0" applyFont="1" applyBorder="1" applyAlignment="1" applyProtection="1">
      <alignment horizontal="left" vertical="top" wrapText="1" readingOrder="1"/>
      <protection locked="0"/>
    </xf>
    <xf numFmtId="0" fontId="7" fillId="11" borderId="8" xfId="0" applyFont="1" applyFill="1" applyBorder="1" applyAlignment="1" applyProtection="1">
      <alignment horizontal="center" vertical="top" readingOrder="1"/>
      <protection locked="0"/>
    </xf>
    <xf numFmtId="0" fontId="9" fillId="0" borderId="1" xfId="0" applyFont="1" applyBorder="1" applyAlignment="1" applyProtection="1">
      <alignment horizontal="left" vertical="top" wrapText="1" readingOrder="1"/>
      <protection locked="0"/>
    </xf>
    <xf numFmtId="0" fontId="7" fillId="0" borderId="8" xfId="0" applyFont="1" applyBorder="1" applyAlignment="1" applyProtection="1">
      <alignment horizontal="left" vertical="top" wrapText="1" readingOrder="1"/>
      <protection locked="0"/>
    </xf>
    <xf numFmtId="0" fontId="9" fillId="0" borderId="8" xfId="0" applyFont="1" applyBorder="1" applyAlignment="1" applyProtection="1">
      <alignment horizontal="left" vertical="top" wrapText="1" readingOrder="1"/>
      <protection locked="0"/>
    </xf>
    <xf numFmtId="0" fontId="9" fillId="0" borderId="34" xfId="0" applyFont="1" applyBorder="1" applyAlignment="1" applyProtection="1">
      <alignment horizontal="left" vertical="top" wrapText="1" readingOrder="1"/>
      <protection locked="0"/>
    </xf>
    <xf numFmtId="0" fontId="4" fillId="14" borderId="1" xfId="0" applyFont="1" applyFill="1" applyBorder="1" applyAlignment="1" applyProtection="1">
      <alignment horizontal="right" vertical="top" readingOrder="1"/>
      <protection locked="0"/>
    </xf>
    <xf numFmtId="0" fontId="9" fillId="0" borderId="25" xfId="0" applyFont="1" applyBorder="1" applyAlignment="1" applyProtection="1">
      <alignment horizontal="left" vertical="top" wrapText="1" readingOrder="1"/>
      <protection locked="0"/>
    </xf>
    <xf numFmtId="0" fontId="4" fillId="0" borderId="42" xfId="0" applyFont="1" applyBorder="1" applyAlignment="1" applyProtection="1">
      <alignment horizontal="left" vertical="top" wrapText="1" readingOrder="1"/>
      <protection locked="0"/>
    </xf>
    <xf numFmtId="0" fontId="4" fillId="0" borderId="56" xfId="0" applyFont="1" applyBorder="1" applyAlignment="1" applyProtection="1">
      <alignment horizontal="left" vertical="top" wrapText="1" readingOrder="1"/>
      <protection locked="0"/>
    </xf>
    <xf numFmtId="0" fontId="7" fillId="12" borderId="8" xfId="0" applyFont="1" applyFill="1" applyBorder="1" applyAlignment="1" applyProtection="1">
      <alignment horizontal="center" vertical="top" readingOrder="1"/>
      <protection locked="0"/>
    </xf>
    <xf numFmtId="0" fontId="4" fillId="0" borderId="0" xfId="0" applyFont="1" applyAlignment="1">
      <alignment vertical="top" wrapText="1"/>
    </xf>
    <xf numFmtId="0" fontId="9" fillId="0" borderId="37" xfId="0" applyFont="1" applyBorder="1" applyAlignment="1" applyProtection="1">
      <alignment horizontal="left" vertical="top" wrapText="1" readingOrder="1"/>
      <protection locked="0"/>
    </xf>
    <xf numFmtId="0" fontId="13" fillId="0" borderId="6" xfId="0" applyFont="1" applyBorder="1" applyAlignment="1" applyProtection="1">
      <alignment horizontal="left" vertical="top" wrapText="1" readingOrder="1"/>
      <protection locked="0"/>
    </xf>
    <xf numFmtId="0" fontId="13" fillId="0" borderId="8" xfId="0" applyFont="1" applyBorder="1" applyAlignment="1" applyProtection="1">
      <alignment horizontal="left" vertical="top" wrapText="1" readingOrder="1"/>
      <protection locked="0"/>
    </xf>
    <xf numFmtId="0" fontId="13" fillId="0" borderId="9" xfId="0" applyFont="1" applyBorder="1" applyAlignment="1" applyProtection="1">
      <alignment horizontal="left" vertical="top" wrapText="1" readingOrder="1"/>
      <protection locked="0"/>
    </xf>
    <xf numFmtId="0" fontId="4" fillId="0" borderId="42" xfId="0" applyFont="1" applyBorder="1" applyAlignment="1" applyProtection="1">
      <alignment horizontal="center" vertical="top" readingOrder="1"/>
      <protection locked="0"/>
    </xf>
    <xf numFmtId="0" fontId="4" fillId="9" borderId="42" xfId="0" applyFont="1" applyFill="1" applyBorder="1" applyAlignment="1" applyProtection="1">
      <alignment horizontal="center" vertical="top" readingOrder="1"/>
      <protection locked="0"/>
    </xf>
    <xf numFmtId="0" fontId="13" fillId="0" borderId="61" xfId="0" applyFont="1" applyBorder="1" applyAlignment="1" applyProtection="1">
      <alignment vertical="top" wrapText="1" readingOrder="1"/>
      <protection locked="0"/>
    </xf>
    <xf numFmtId="0" fontId="4" fillId="0" borderId="42" xfId="0" applyFont="1" applyBorder="1" applyAlignment="1" applyProtection="1">
      <alignment horizontal="left" vertical="top" readingOrder="1"/>
      <protection locked="0"/>
    </xf>
    <xf numFmtId="164" fontId="4" fillId="0" borderId="42" xfId="0" applyNumberFormat="1" applyFont="1" applyBorder="1" applyAlignment="1" applyProtection="1">
      <alignment horizontal="right" vertical="top" readingOrder="1"/>
      <protection locked="0"/>
    </xf>
    <xf numFmtId="0" fontId="4" fillId="0" borderId="42" xfId="0" applyFont="1" applyBorder="1" applyAlignment="1" applyProtection="1">
      <alignment horizontal="right" vertical="top" readingOrder="1"/>
      <protection locked="0"/>
    </xf>
    <xf numFmtId="0" fontId="4" fillId="0" borderId="63" xfId="0" applyFont="1" applyBorder="1" applyAlignment="1" applyProtection="1">
      <alignment vertical="top" readingOrder="1"/>
      <protection locked="0"/>
    </xf>
    <xf numFmtId="0" fontId="4" fillId="0" borderId="16" xfId="0" applyFont="1" applyBorder="1" applyAlignment="1" applyProtection="1">
      <alignment vertical="top" wrapText="1" readingOrder="1"/>
      <protection locked="0"/>
    </xf>
    <xf numFmtId="0" fontId="4" fillId="0" borderId="16" xfId="0" applyFont="1" applyBorder="1" applyAlignment="1" applyProtection="1">
      <alignment horizontal="left" vertical="top" readingOrder="1"/>
      <protection locked="0"/>
    </xf>
    <xf numFmtId="164" fontId="4" fillId="0" borderId="16" xfId="0" applyNumberFormat="1" applyFont="1" applyBorder="1" applyAlignment="1" applyProtection="1">
      <alignment horizontal="right" vertical="top" readingOrder="1"/>
      <protection locked="0"/>
    </xf>
    <xf numFmtId="0" fontId="4" fillId="9" borderId="16" xfId="0" applyFont="1" applyFill="1" applyBorder="1" applyAlignment="1" applyProtection="1">
      <alignment horizontal="center" vertical="top" readingOrder="1"/>
      <protection locked="0"/>
    </xf>
    <xf numFmtId="0" fontId="4" fillId="0" borderId="64" xfId="0" applyFont="1" applyBorder="1" applyAlignment="1" applyProtection="1">
      <alignment vertical="top" readingOrder="1"/>
      <protection locked="0"/>
    </xf>
    <xf numFmtId="0" fontId="4" fillId="0" borderId="65" xfId="0" applyFont="1" applyBorder="1" applyAlignment="1" applyProtection="1">
      <alignment vertical="top" wrapText="1" readingOrder="1"/>
      <protection locked="0"/>
    </xf>
    <xf numFmtId="0" fontId="4" fillId="0" borderId="65" xfId="0" applyFont="1" applyBorder="1" applyAlignment="1" applyProtection="1">
      <alignment horizontal="left" vertical="top" readingOrder="1"/>
      <protection locked="0"/>
    </xf>
    <xf numFmtId="164" fontId="4" fillId="0" borderId="65" xfId="0" applyNumberFormat="1" applyFont="1" applyBorder="1" applyAlignment="1" applyProtection="1">
      <alignment horizontal="right" vertical="top" readingOrder="1"/>
      <protection locked="0"/>
    </xf>
    <xf numFmtId="0" fontId="4" fillId="0" borderId="65" xfId="0" applyFont="1" applyBorder="1" applyAlignment="1" applyProtection="1">
      <alignment horizontal="left" vertical="top" wrapText="1" readingOrder="1"/>
      <protection locked="0"/>
    </xf>
    <xf numFmtId="0" fontId="4" fillId="0" borderId="65" xfId="0" applyFont="1" applyBorder="1" applyAlignment="1" applyProtection="1">
      <alignment horizontal="center" vertical="top" readingOrder="1"/>
      <protection locked="0"/>
    </xf>
    <xf numFmtId="0" fontId="7" fillId="0" borderId="65" xfId="0" applyFont="1" applyBorder="1" applyAlignment="1" applyProtection="1">
      <alignment horizontal="right" vertical="top" readingOrder="1"/>
      <protection locked="0"/>
    </xf>
    <xf numFmtId="0" fontId="4" fillId="0" borderId="66" xfId="0" applyFont="1" applyBorder="1" applyAlignment="1" applyProtection="1">
      <alignment horizontal="left" vertical="top" wrapText="1" readingOrder="1"/>
      <protection locked="0"/>
    </xf>
    <xf numFmtId="0" fontId="7" fillId="9" borderId="65" xfId="0" applyFont="1" applyFill="1" applyBorder="1" applyAlignment="1" applyProtection="1">
      <alignment horizontal="center" vertical="top" readingOrder="1"/>
      <protection locked="0"/>
    </xf>
    <xf numFmtId="0" fontId="13" fillId="0" borderId="65" xfId="0" applyFont="1" applyBorder="1" applyAlignment="1" applyProtection="1">
      <alignment horizontal="left" vertical="top" wrapText="1" readingOrder="1"/>
      <protection locked="0"/>
    </xf>
    <xf numFmtId="0" fontId="4" fillId="3" borderId="17" xfId="0" applyFont="1" applyFill="1" applyBorder="1" applyAlignment="1" applyProtection="1">
      <alignment vertical="top" readingOrder="1"/>
      <protection locked="0"/>
    </xf>
    <xf numFmtId="0" fontId="4" fillId="3" borderId="10" xfId="0" applyFont="1" applyFill="1" applyBorder="1" applyAlignment="1" applyProtection="1">
      <alignment vertical="top" wrapText="1" readingOrder="1"/>
      <protection locked="0"/>
    </xf>
    <xf numFmtId="0" fontId="4" fillId="3" borderId="10" xfId="0" applyFont="1" applyFill="1" applyBorder="1" applyAlignment="1" applyProtection="1">
      <alignment horizontal="left" vertical="top" readingOrder="1"/>
      <protection locked="0"/>
    </xf>
    <xf numFmtId="164" fontId="4" fillId="3" borderId="10" xfId="0" applyNumberFormat="1" applyFont="1" applyFill="1" applyBorder="1" applyAlignment="1">
      <alignment horizontal="right" vertical="top" readingOrder="1"/>
    </xf>
    <xf numFmtId="164" fontId="4" fillId="0" borderId="16" xfId="0" applyNumberFormat="1" applyFont="1" applyBorder="1" applyAlignment="1">
      <alignment horizontal="right" vertical="top" readingOrder="1"/>
    </xf>
    <xf numFmtId="0" fontId="4" fillId="0" borderId="64" xfId="0" applyFont="1" applyBorder="1" applyAlignment="1" applyProtection="1">
      <alignment horizontal="left" vertical="top" readingOrder="1"/>
      <protection locked="0"/>
    </xf>
    <xf numFmtId="0" fontId="4" fillId="9" borderId="65" xfId="0" applyFont="1" applyFill="1" applyBorder="1" applyAlignment="1" applyProtection="1">
      <alignment horizontal="center" vertical="top" readingOrder="1"/>
      <protection locked="0"/>
    </xf>
    <xf numFmtId="0" fontId="4" fillId="0" borderId="65" xfId="0" applyFont="1" applyBorder="1" applyAlignment="1" applyProtection="1">
      <alignment horizontal="right" vertical="top" readingOrder="1"/>
      <protection locked="0"/>
    </xf>
    <xf numFmtId="0" fontId="9" fillId="0" borderId="16" xfId="0" applyFont="1" applyBorder="1" applyAlignment="1" applyProtection="1">
      <alignment horizontal="left" vertical="top" wrapText="1" readingOrder="1"/>
      <protection locked="0"/>
    </xf>
    <xf numFmtId="0" fontId="9" fillId="0" borderId="10" xfId="0" applyFont="1" applyBorder="1" applyAlignment="1" applyProtection="1">
      <alignment horizontal="left" vertical="top" wrapText="1" readingOrder="1"/>
      <protection locked="0"/>
    </xf>
    <xf numFmtId="0" fontId="4" fillId="5" borderId="63" xfId="0" applyFont="1" applyFill="1" applyBorder="1" applyAlignment="1" applyProtection="1">
      <alignment vertical="top" readingOrder="1"/>
      <protection locked="0"/>
    </xf>
    <xf numFmtId="0" fontId="4" fillId="5" borderId="16" xfId="0" applyFont="1" applyFill="1" applyBorder="1" applyAlignment="1" applyProtection="1">
      <alignment vertical="top" wrapText="1" readingOrder="1"/>
      <protection locked="0"/>
    </xf>
    <xf numFmtId="0" fontId="4" fillId="5" borderId="16" xfId="0" applyFont="1" applyFill="1" applyBorder="1" applyAlignment="1" applyProtection="1">
      <alignment horizontal="left" vertical="top" readingOrder="1"/>
      <protection locked="0"/>
    </xf>
    <xf numFmtId="164" fontId="4" fillId="5" borderId="16" xfId="0" applyNumberFormat="1" applyFont="1" applyFill="1" applyBorder="1" applyAlignment="1">
      <alignment horizontal="right" vertical="top" readingOrder="1"/>
    </xf>
    <xf numFmtId="0" fontId="4" fillId="0" borderId="71" xfId="0" applyFont="1" applyBorder="1" applyAlignment="1" applyProtection="1">
      <alignment horizontal="left" vertical="top" readingOrder="1"/>
      <protection locked="0"/>
    </xf>
    <xf numFmtId="164" fontId="4" fillId="0" borderId="71" xfId="0" applyNumberFormat="1" applyFont="1" applyBorder="1" applyAlignment="1">
      <alignment horizontal="right" vertical="top" readingOrder="1"/>
    </xf>
    <xf numFmtId="0" fontId="4" fillId="0" borderId="71" xfId="0" applyFont="1" applyBorder="1" applyAlignment="1" applyProtection="1">
      <alignment horizontal="right" vertical="top" readingOrder="1"/>
      <protection locked="0"/>
    </xf>
    <xf numFmtId="0" fontId="4" fillId="0" borderId="59" xfId="0" applyFont="1" applyBorder="1" applyAlignment="1" applyProtection="1">
      <alignment horizontal="left" vertical="top" readingOrder="1"/>
      <protection locked="0"/>
    </xf>
    <xf numFmtId="164" fontId="4" fillId="0" borderId="59" xfId="0" applyNumberFormat="1" applyFont="1" applyBorder="1" applyAlignment="1" applyProtection="1">
      <alignment horizontal="right" vertical="top" readingOrder="1"/>
      <protection locked="0"/>
    </xf>
    <xf numFmtId="0" fontId="4" fillId="0" borderId="59" xfId="0" applyFont="1" applyBorder="1" applyAlignment="1" applyProtection="1">
      <alignment horizontal="right" vertical="top" readingOrder="1"/>
      <protection locked="0"/>
    </xf>
    <xf numFmtId="0" fontId="13" fillId="0" borderId="1" xfId="0" applyFont="1" applyBorder="1" applyAlignment="1" applyProtection="1">
      <alignment horizontal="left" vertical="top" wrapText="1" readingOrder="1"/>
      <protection locked="0"/>
    </xf>
    <xf numFmtId="0" fontId="4" fillId="0" borderId="17" xfId="0" applyFont="1" applyBorder="1" applyAlignment="1" applyProtection="1">
      <alignment horizontal="left" vertical="top" readingOrder="1"/>
      <protection locked="0"/>
    </xf>
    <xf numFmtId="0" fontId="7" fillId="12" borderId="1" xfId="0" applyFont="1" applyFill="1" applyBorder="1" applyAlignment="1" applyProtection="1">
      <alignment horizontal="center" vertical="top" readingOrder="1"/>
      <protection locked="0"/>
    </xf>
    <xf numFmtId="0" fontId="7" fillId="9" borderId="1" xfId="0" applyFont="1" applyFill="1" applyBorder="1" applyAlignment="1" applyProtection="1">
      <alignment horizontal="center" vertical="top" readingOrder="1"/>
      <protection locked="0"/>
    </xf>
    <xf numFmtId="0" fontId="7" fillId="0" borderId="1" xfId="0" applyFont="1" applyBorder="1" applyAlignment="1" applyProtection="1">
      <alignment horizontal="right" vertical="top" readingOrder="1"/>
      <protection locked="0"/>
    </xf>
    <xf numFmtId="0" fontId="4" fillId="0" borderId="10" xfId="0" applyFont="1" applyBorder="1" applyAlignment="1" applyProtection="1">
      <alignment horizontal="left" vertical="top" readingOrder="1"/>
      <protection locked="0"/>
    </xf>
    <xf numFmtId="164" fontId="4" fillId="0" borderId="10" xfId="0" applyNumberFormat="1" applyFont="1" applyBorder="1" applyAlignment="1" applyProtection="1">
      <alignment horizontal="right" vertical="top" readingOrder="1"/>
      <protection locked="0"/>
    </xf>
    <xf numFmtId="0" fontId="4" fillId="0" borderId="71" xfId="0" applyFont="1" applyBorder="1" applyAlignment="1" applyProtection="1">
      <alignment horizontal="left" vertical="top" wrapText="1" readingOrder="1"/>
      <protection locked="0"/>
    </xf>
    <xf numFmtId="0" fontId="4" fillId="0" borderId="71" xfId="0" applyFont="1" applyBorder="1" applyAlignment="1" applyProtection="1">
      <alignment horizontal="center" vertical="top" readingOrder="1"/>
      <protection locked="0"/>
    </xf>
    <xf numFmtId="0" fontId="4" fillId="9" borderId="71" xfId="0" applyFont="1" applyFill="1" applyBorder="1" applyAlignment="1" applyProtection="1">
      <alignment horizontal="center" vertical="top" readingOrder="1"/>
      <protection locked="0"/>
    </xf>
    <xf numFmtId="0" fontId="9" fillId="0" borderId="73" xfId="0" applyFont="1" applyBorder="1" applyAlignment="1" applyProtection="1">
      <alignment horizontal="left" vertical="top" wrapText="1" readingOrder="1"/>
      <protection locked="0"/>
    </xf>
    <xf numFmtId="0" fontId="9" fillId="8" borderId="42" xfId="0" applyFont="1" applyFill="1" applyBorder="1" applyAlignment="1" applyProtection="1">
      <alignment horizontal="center" vertical="top" readingOrder="1"/>
      <protection locked="0"/>
    </xf>
    <xf numFmtId="0" fontId="4" fillId="11" borderId="16" xfId="0" applyFont="1" applyFill="1" applyBorder="1" applyAlignment="1" applyProtection="1">
      <alignment horizontal="center" vertical="top" readingOrder="1"/>
      <protection locked="0"/>
    </xf>
    <xf numFmtId="0" fontId="10" fillId="8" borderId="65" xfId="0" applyFont="1" applyFill="1" applyBorder="1" applyAlignment="1" applyProtection="1">
      <alignment horizontal="center" vertical="top" readingOrder="1"/>
      <protection locked="0"/>
    </xf>
    <xf numFmtId="0" fontId="7" fillId="0" borderId="66" xfId="0" applyFont="1" applyBorder="1" applyAlignment="1" applyProtection="1">
      <alignment horizontal="left" vertical="top" wrapText="1" readingOrder="1"/>
      <protection locked="0"/>
    </xf>
    <xf numFmtId="0" fontId="7" fillId="8" borderId="1" xfId="0" applyFont="1" applyFill="1" applyBorder="1" applyAlignment="1" applyProtection="1">
      <alignment horizontal="center" vertical="top" readingOrder="1"/>
      <protection locked="0"/>
    </xf>
    <xf numFmtId="0" fontId="7" fillId="0" borderId="42" xfId="0" applyFont="1" applyBorder="1" applyAlignment="1" applyProtection="1">
      <alignment horizontal="left" vertical="top" wrapText="1" readingOrder="1"/>
      <protection locked="0"/>
    </xf>
    <xf numFmtId="0" fontId="4" fillId="8" borderId="42" xfId="0" applyFont="1" applyFill="1" applyBorder="1" applyAlignment="1" applyProtection="1">
      <alignment horizontal="center" vertical="top" readingOrder="1"/>
      <protection locked="0"/>
    </xf>
    <xf numFmtId="0" fontId="4" fillId="12" borderId="16" xfId="0" applyFont="1" applyFill="1" applyBorder="1" applyAlignment="1" applyProtection="1">
      <alignment horizontal="center" vertical="top" readingOrder="1"/>
      <protection locked="0"/>
    </xf>
    <xf numFmtId="3" fontId="7" fillId="12" borderId="1" xfId="0" applyNumberFormat="1" applyFont="1" applyFill="1" applyBorder="1" applyAlignment="1" applyProtection="1">
      <alignment horizontal="center" vertical="top" readingOrder="1"/>
      <protection locked="0"/>
    </xf>
    <xf numFmtId="0" fontId="7" fillId="11" borderId="1" xfId="0" applyFont="1" applyFill="1" applyBorder="1" applyAlignment="1" applyProtection="1">
      <alignment horizontal="center" vertical="top" readingOrder="1"/>
      <protection locked="0"/>
    </xf>
    <xf numFmtId="0" fontId="4" fillId="3" borderId="63" xfId="0" applyFont="1" applyFill="1" applyBorder="1" applyAlignment="1" applyProtection="1">
      <alignment vertical="top" readingOrder="1"/>
      <protection locked="0"/>
    </xf>
    <xf numFmtId="0" fontId="4" fillId="3" borderId="16" xfId="0" applyFont="1" applyFill="1" applyBorder="1" applyAlignment="1" applyProtection="1">
      <alignment vertical="top" wrapText="1" readingOrder="1"/>
      <protection locked="0"/>
    </xf>
    <xf numFmtId="0" fontId="4" fillId="3" borderId="16" xfId="0" applyFont="1" applyFill="1" applyBorder="1" applyAlignment="1" applyProtection="1">
      <alignment horizontal="left" vertical="top" readingOrder="1"/>
      <protection locked="0"/>
    </xf>
    <xf numFmtId="164" fontId="4" fillId="3" borderId="16" xfId="0" applyNumberFormat="1" applyFont="1" applyFill="1" applyBorder="1" applyAlignment="1">
      <alignment horizontal="right" vertical="top" readingOrder="1"/>
    </xf>
    <xf numFmtId="0" fontId="4" fillId="8" borderId="71" xfId="0" applyFont="1" applyFill="1" applyBorder="1" applyAlignment="1" applyProtection="1">
      <alignment horizontal="center" vertical="top" readingOrder="1"/>
      <protection locked="0"/>
    </xf>
    <xf numFmtId="0" fontId="2" fillId="0" borderId="91" xfId="0" applyFont="1" applyBorder="1" applyAlignment="1">
      <alignment wrapText="1"/>
    </xf>
    <xf numFmtId="0" fontId="4" fillId="0" borderId="92" xfId="0" applyFont="1" applyBorder="1" applyAlignment="1" applyProtection="1">
      <alignment horizontal="left" vertical="top" wrapText="1" readingOrder="1"/>
      <protection locked="0"/>
    </xf>
    <xf numFmtId="0" fontId="9" fillId="0" borderId="93" xfId="0" applyFont="1" applyBorder="1" applyAlignment="1" applyProtection="1">
      <alignment horizontal="left" vertical="top" wrapText="1" readingOrder="1"/>
      <protection locked="0"/>
    </xf>
    <xf numFmtId="0" fontId="4" fillId="0" borderId="93" xfId="0" applyFont="1" applyBorder="1" applyAlignment="1" applyProtection="1">
      <alignment horizontal="left" vertical="top" wrapText="1" readingOrder="1"/>
      <protection locked="0"/>
    </xf>
    <xf numFmtId="0" fontId="4" fillId="0" borderId="59" xfId="0" applyFont="1" applyBorder="1" applyAlignment="1" applyProtection="1">
      <alignment horizontal="left" vertical="top" wrapText="1" readingOrder="1"/>
      <protection locked="0"/>
    </xf>
    <xf numFmtId="0" fontId="4" fillId="0" borderId="59" xfId="0" applyFont="1" applyBorder="1" applyAlignment="1" applyProtection="1">
      <alignment horizontal="center" vertical="top" readingOrder="1"/>
      <protection locked="0"/>
    </xf>
    <xf numFmtId="0" fontId="4" fillId="8" borderId="59" xfId="0" applyFont="1" applyFill="1" applyBorder="1" applyAlignment="1" applyProtection="1">
      <alignment horizontal="center" vertical="top" readingOrder="1"/>
      <protection locked="0"/>
    </xf>
    <xf numFmtId="0" fontId="9" fillId="0" borderId="59" xfId="0" applyFont="1" applyBorder="1" applyAlignment="1" applyProtection="1">
      <alignment horizontal="left" vertical="top" wrapText="1" readingOrder="1"/>
      <protection locked="0"/>
    </xf>
    <xf numFmtId="0" fontId="4" fillId="0" borderId="94" xfId="0" applyFont="1" applyBorder="1" applyAlignment="1" applyProtection="1">
      <alignment horizontal="left" vertical="top" wrapText="1" readingOrder="1"/>
      <protection locked="0"/>
    </xf>
    <xf numFmtId="0" fontId="13" fillId="0" borderId="37" xfId="0" applyFont="1" applyBorder="1" applyAlignment="1" applyProtection="1">
      <alignment horizontal="left" vertical="top" wrapText="1" readingOrder="1"/>
      <protection locked="0"/>
    </xf>
    <xf numFmtId="0" fontId="13" fillId="0" borderId="61" xfId="0" applyFont="1" applyBorder="1" applyAlignment="1" applyProtection="1">
      <alignment horizontal="left" vertical="top" wrapText="1" readingOrder="1"/>
      <protection locked="0"/>
    </xf>
    <xf numFmtId="0" fontId="4" fillId="0" borderId="42" xfId="0" applyFont="1" applyBorder="1" applyAlignment="1" applyProtection="1">
      <alignment vertical="top" wrapText="1" readingOrder="1"/>
      <protection locked="0"/>
    </xf>
    <xf numFmtId="0" fontId="4" fillId="0" borderId="11" xfId="0" applyFont="1" applyBorder="1" applyAlignment="1" applyProtection="1">
      <alignment vertical="top" wrapText="1" readingOrder="1"/>
      <protection locked="0"/>
    </xf>
    <xf numFmtId="0" fontId="4" fillId="0" borderId="12" xfId="0" applyFont="1" applyBorder="1" applyAlignment="1" applyProtection="1">
      <alignment vertical="top" wrapText="1" readingOrder="1"/>
      <protection locked="0"/>
    </xf>
    <xf numFmtId="0" fontId="15" fillId="0" borderId="13" xfId="0" applyFont="1" applyBorder="1"/>
    <xf numFmtId="0" fontId="16" fillId="2" borderId="13" xfId="1" applyFont="1" applyBorder="1" applyAlignment="1">
      <alignment horizontal="center" vertical="center"/>
    </xf>
    <xf numFmtId="0" fontId="15" fillId="15" borderId="13" xfId="0" applyFont="1" applyFill="1" applyBorder="1"/>
    <xf numFmtId="0" fontId="17" fillId="0" borderId="13" xfId="0" applyFont="1" applyBorder="1" applyAlignment="1">
      <alignment vertical="center" wrapText="1"/>
    </xf>
    <xf numFmtId="0" fontId="16" fillId="0" borderId="13" xfId="0" applyFont="1" applyBorder="1" applyAlignment="1">
      <alignment horizontal="center" vertical="center"/>
    </xf>
    <xf numFmtId="0" fontId="15" fillId="11" borderId="13" xfId="0" applyFont="1" applyFill="1" applyBorder="1"/>
    <xf numFmtId="0" fontId="18" fillId="0" borderId="13" xfId="0" applyFont="1" applyBorder="1" applyAlignment="1">
      <alignment horizontal="center" vertical="center"/>
    </xf>
    <xf numFmtId="0" fontId="15" fillId="16" borderId="13" xfId="0" applyFont="1" applyFill="1" applyBorder="1"/>
    <xf numFmtId="0" fontId="18" fillId="0" borderId="13" xfId="0" applyFont="1" applyBorder="1" applyAlignment="1">
      <alignment vertical="center"/>
    </xf>
    <xf numFmtId="0" fontId="15" fillId="10" borderId="13" xfId="0" applyFont="1" applyFill="1" applyBorder="1"/>
    <xf numFmtId="0" fontId="15" fillId="12" borderId="13" xfId="0" applyFont="1" applyFill="1" applyBorder="1"/>
    <xf numFmtId="0" fontId="16" fillId="2" borderId="13" xfId="1" applyFont="1" applyBorder="1" applyAlignment="1">
      <alignment horizontal="center" vertical="center" wrapText="1"/>
    </xf>
    <xf numFmtId="0" fontId="1" fillId="0" borderId="0" xfId="0" applyFont="1" applyAlignment="1">
      <alignment horizontal="center"/>
    </xf>
    <xf numFmtId="0" fontId="2" fillId="0" borderId="96" xfId="0" applyFont="1" applyBorder="1"/>
    <xf numFmtId="0" fontId="2" fillId="0" borderId="95" xfId="0" applyFont="1" applyBorder="1"/>
    <xf numFmtId="0" fontId="12" fillId="0" borderId="58" xfId="0" applyFont="1" applyBorder="1" applyAlignment="1">
      <alignment wrapText="1"/>
    </xf>
    <xf numFmtId="0" fontId="12" fillId="0" borderId="0" xfId="0" applyFont="1" applyAlignment="1">
      <alignment horizontal="center" vertical="center"/>
    </xf>
    <xf numFmtId="9" fontId="19" fillId="0" borderId="0" xfId="0" applyNumberFormat="1" applyFont="1"/>
    <xf numFmtId="9" fontId="7" fillId="5" borderId="8" xfId="0" applyNumberFormat="1" applyFont="1" applyFill="1" applyBorder="1" applyAlignment="1">
      <alignment horizontal="right" vertical="top" readingOrder="1"/>
    </xf>
    <xf numFmtId="9" fontId="7" fillId="4" borderId="8" xfId="0" applyNumberFormat="1" applyFont="1" applyFill="1" applyBorder="1" applyAlignment="1">
      <alignment horizontal="right" vertical="top" readingOrder="1"/>
    </xf>
    <xf numFmtId="9" fontId="7" fillId="3" borderId="8" xfId="0" applyNumberFormat="1" applyFont="1" applyFill="1" applyBorder="1" applyAlignment="1">
      <alignment horizontal="right" vertical="top" readingOrder="1"/>
    </xf>
    <xf numFmtId="9" fontId="7" fillId="0" borderId="10" xfId="0" applyNumberFormat="1" applyFont="1" applyBorder="1" applyAlignment="1">
      <alignment horizontal="right" vertical="top" readingOrder="1"/>
    </xf>
    <xf numFmtId="9" fontId="7" fillId="0" borderId="13" xfId="0" applyNumberFormat="1" applyFont="1" applyBorder="1" applyAlignment="1">
      <alignment horizontal="right" vertical="top" readingOrder="1"/>
    </xf>
    <xf numFmtId="9" fontId="7" fillId="0" borderId="16" xfId="0" applyNumberFormat="1" applyFont="1" applyBorder="1" applyAlignment="1">
      <alignment horizontal="right" vertical="top" readingOrder="1"/>
    </xf>
    <xf numFmtId="9" fontId="7" fillId="0" borderId="23" xfId="0" applyNumberFormat="1" applyFont="1" applyBorder="1" applyAlignment="1">
      <alignment horizontal="right" vertical="top" readingOrder="1"/>
    </xf>
    <xf numFmtId="9" fontId="7" fillId="0" borderId="24" xfId="0" applyNumberFormat="1" applyFont="1" applyBorder="1" applyAlignment="1">
      <alignment horizontal="right" vertical="top" readingOrder="1"/>
    </xf>
    <xf numFmtId="9" fontId="7" fillId="0" borderId="11" xfId="0" applyNumberFormat="1" applyFont="1" applyBorder="1" applyAlignment="1">
      <alignment horizontal="right" vertical="top" readingOrder="1"/>
    </xf>
    <xf numFmtId="9" fontId="7" fillId="0" borderId="8" xfId="0" applyNumberFormat="1" applyFont="1" applyBorder="1" applyAlignment="1">
      <alignment horizontal="right" vertical="top" readingOrder="1"/>
    </xf>
    <xf numFmtId="9" fontId="7" fillId="0" borderId="65" xfId="0" applyNumberFormat="1" applyFont="1" applyBorder="1" applyAlignment="1">
      <alignment horizontal="right" vertical="top" readingOrder="1"/>
    </xf>
    <xf numFmtId="9" fontId="7" fillId="0" borderId="1" xfId="0" applyNumberFormat="1" applyFont="1" applyBorder="1" applyAlignment="1" applyProtection="1">
      <alignment horizontal="right" vertical="top" readingOrder="1"/>
      <protection locked="0"/>
    </xf>
    <xf numFmtId="9" fontId="7" fillId="0" borderId="42" xfId="0" applyNumberFormat="1" applyFont="1" applyBorder="1" applyAlignment="1" applyProtection="1">
      <alignment horizontal="right" vertical="top" readingOrder="1"/>
      <protection locked="0"/>
    </xf>
    <xf numFmtId="9" fontId="7" fillId="0" borderId="70" xfId="0" applyNumberFormat="1" applyFont="1" applyBorder="1" applyAlignment="1">
      <alignment horizontal="right" vertical="top" readingOrder="1"/>
    </xf>
    <xf numFmtId="9" fontId="7" fillId="0" borderId="77" xfId="0" applyNumberFormat="1" applyFont="1" applyBorder="1" applyAlignment="1">
      <alignment horizontal="right" vertical="top" readingOrder="1"/>
    </xf>
    <xf numFmtId="9" fontId="7" fillId="0" borderId="67" xfId="0" applyNumberFormat="1" applyFont="1" applyBorder="1" applyAlignment="1">
      <alignment horizontal="right" vertical="top" readingOrder="1"/>
    </xf>
    <xf numFmtId="9" fontId="7" fillId="0" borderId="47" xfId="0" applyNumberFormat="1" applyFont="1" applyBorder="1" applyAlignment="1">
      <alignment horizontal="right" vertical="top" readingOrder="1"/>
    </xf>
    <xf numFmtId="9" fontId="7" fillId="0" borderId="78" xfId="0" applyNumberFormat="1" applyFont="1" applyBorder="1" applyAlignment="1">
      <alignment horizontal="right" vertical="top" readingOrder="1"/>
    </xf>
    <xf numFmtId="9" fontId="7" fillId="5" borderId="16" xfId="0" applyNumberFormat="1" applyFont="1" applyFill="1" applyBorder="1" applyAlignment="1">
      <alignment horizontal="right" vertical="top" readingOrder="1"/>
    </xf>
    <xf numFmtId="0" fontId="7" fillId="4" borderId="13" xfId="0" applyFont="1" applyFill="1" applyBorder="1" applyAlignment="1" applyProtection="1">
      <alignment horizontal="left" vertical="top" readingOrder="1"/>
      <protection locked="0"/>
    </xf>
    <xf numFmtId="0" fontId="7" fillId="4" borderId="16" xfId="0" applyFont="1" applyFill="1" applyBorder="1" applyAlignment="1" applyProtection="1">
      <alignment horizontal="left" vertical="top" readingOrder="1"/>
      <protection locked="0"/>
    </xf>
    <xf numFmtId="9" fontId="7" fillId="0" borderId="32" xfId="0" applyNumberFormat="1" applyFont="1" applyBorder="1" applyAlignment="1">
      <alignment horizontal="right" vertical="top" readingOrder="1"/>
    </xf>
    <xf numFmtId="9" fontId="7" fillId="7" borderId="1" xfId="0" applyNumberFormat="1" applyFont="1" applyFill="1" applyBorder="1" applyAlignment="1" applyProtection="1">
      <alignment horizontal="right" vertical="top" readingOrder="1"/>
      <protection locked="0"/>
    </xf>
    <xf numFmtId="9" fontId="7" fillId="0" borderId="8" xfId="0" applyNumberFormat="1" applyFont="1" applyBorder="1" applyAlignment="1" applyProtection="1">
      <alignment horizontal="right" vertical="top" readingOrder="1"/>
      <protection locked="0"/>
    </xf>
    <xf numFmtId="9" fontId="7" fillId="3" borderId="16" xfId="0" applyNumberFormat="1" applyFont="1" applyFill="1" applyBorder="1" applyAlignment="1">
      <alignment horizontal="right" vertical="top" readingOrder="1"/>
    </xf>
    <xf numFmtId="9" fontId="7" fillId="0" borderId="16" xfId="0" applyNumberFormat="1" applyFont="1" applyBorder="1" applyAlignment="1" applyProtection="1">
      <alignment horizontal="right" vertical="top" readingOrder="1"/>
      <protection locked="0"/>
    </xf>
    <xf numFmtId="9" fontId="7" fillId="3" borderId="41" xfId="0" applyNumberFormat="1" applyFont="1" applyFill="1" applyBorder="1" applyAlignment="1">
      <alignment horizontal="right" vertical="top" readingOrder="1"/>
    </xf>
    <xf numFmtId="9" fontId="7" fillId="3" borderId="10" xfId="0" applyNumberFormat="1" applyFont="1" applyFill="1" applyBorder="1" applyAlignment="1">
      <alignment horizontal="right" vertical="top" readingOrder="1"/>
    </xf>
    <xf numFmtId="9" fontId="7" fillId="0" borderId="65" xfId="0" applyNumberFormat="1" applyFont="1" applyBorder="1" applyAlignment="1" applyProtection="1">
      <alignment horizontal="right" vertical="top" readingOrder="1"/>
      <protection locked="0"/>
    </xf>
    <xf numFmtId="9" fontId="7" fillId="0" borderId="48" xfId="0" applyNumberFormat="1" applyFont="1" applyBorder="1" applyAlignment="1" applyProtection="1">
      <alignment horizontal="right" vertical="top" readingOrder="1"/>
      <protection locked="0"/>
    </xf>
    <xf numFmtId="9" fontId="7" fillId="0" borderId="49" xfId="0" applyNumberFormat="1" applyFont="1" applyBorder="1" applyAlignment="1" applyProtection="1">
      <alignment horizontal="right" vertical="top" readingOrder="1"/>
      <protection locked="0"/>
    </xf>
    <xf numFmtId="9" fontId="7" fillId="0" borderId="50" xfId="0" applyNumberFormat="1" applyFont="1" applyBorder="1" applyAlignment="1">
      <alignment horizontal="right" vertical="top" readingOrder="1"/>
    </xf>
    <xf numFmtId="9" fontId="7" fillId="2" borderId="0" xfId="0" applyNumberFormat="1" applyFont="1" applyFill="1" applyAlignment="1" applyProtection="1">
      <alignment horizontal="right" vertical="top" readingOrder="1"/>
      <protection locked="0"/>
    </xf>
    <xf numFmtId="0" fontId="2" fillId="0" borderId="0" xfId="0" applyFont="1" applyAlignment="1">
      <alignment horizontal="right" wrapText="1"/>
    </xf>
    <xf numFmtId="0" fontId="21" fillId="2" borderId="13" xfId="1" applyFont="1" applyBorder="1" applyAlignment="1">
      <alignment horizontal="center" vertical="center" wrapText="1"/>
    </xf>
    <xf numFmtId="0" fontId="3" fillId="0" borderId="1" xfId="0" applyFont="1" applyBorder="1" applyAlignment="1">
      <alignment horizontal="center" vertical="center" wrapText="1" readingOrder="1"/>
    </xf>
    <xf numFmtId="0" fontId="9" fillId="0" borderId="34" xfId="0" applyFont="1" applyBorder="1" applyAlignment="1" applyProtection="1">
      <alignment horizontal="center" vertical="top" wrapText="1" readingOrder="1"/>
      <protection locked="0"/>
    </xf>
    <xf numFmtId="0" fontId="9" fillId="0" borderId="35" xfId="0" applyFont="1" applyBorder="1" applyAlignment="1" applyProtection="1">
      <alignment horizontal="center" vertical="top" wrapText="1" readingOrder="1"/>
      <protection locked="0"/>
    </xf>
    <xf numFmtId="0" fontId="9" fillId="0" borderId="36" xfId="0" applyFont="1" applyBorder="1" applyAlignment="1" applyProtection="1">
      <alignment horizontal="center" vertical="top" wrapText="1" readingOrder="1"/>
      <protection locked="0"/>
    </xf>
    <xf numFmtId="0" fontId="4" fillId="0" borderId="10" xfId="0" applyFont="1" applyBorder="1" applyAlignment="1" applyProtection="1">
      <alignment horizontal="center" vertical="top" wrapText="1" readingOrder="1"/>
      <protection locked="0"/>
    </xf>
    <xf numFmtId="0" fontId="4" fillId="0" borderId="11" xfId="0" applyFont="1" applyBorder="1" applyAlignment="1" applyProtection="1">
      <alignment horizontal="center" vertical="top" wrapText="1" readingOrder="1"/>
      <protection locked="0"/>
    </xf>
    <xf numFmtId="0" fontId="4" fillId="0" borderId="12" xfId="0" applyFont="1" applyBorder="1" applyAlignment="1" applyProtection="1">
      <alignment horizontal="center" vertical="top" wrapText="1" readingOrder="1"/>
      <protection locked="0"/>
    </xf>
    <xf numFmtId="0" fontId="13" fillId="0" borderId="34" xfId="0" applyFont="1" applyBorder="1" applyAlignment="1" applyProtection="1">
      <alignment horizontal="center" vertical="top" wrapText="1" readingOrder="1"/>
      <protection locked="0"/>
    </xf>
    <xf numFmtId="0" fontId="13" fillId="0" borderId="35" xfId="0" applyFont="1" applyBorder="1" applyAlignment="1" applyProtection="1">
      <alignment horizontal="center" vertical="top" wrapText="1" readingOrder="1"/>
      <protection locked="0"/>
    </xf>
    <xf numFmtId="0" fontId="13" fillId="0" borderId="36" xfId="0" applyFont="1" applyBorder="1" applyAlignment="1" applyProtection="1">
      <alignment horizontal="center" vertical="top" wrapText="1" readingOrder="1"/>
      <protection locked="0"/>
    </xf>
    <xf numFmtId="0" fontId="4" fillId="0" borderId="34" xfId="0" applyFont="1" applyBorder="1" applyAlignment="1" applyProtection="1">
      <alignment horizontal="center" vertical="top" wrapText="1" readingOrder="1"/>
      <protection locked="0"/>
    </xf>
    <xf numFmtId="0" fontId="4" fillId="0" borderId="35" xfId="0" applyFont="1" applyBorder="1" applyAlignment="1" applyProtection="1">
      <alignment horizontal="center" vertical="top" wrapText="1" readingOrder="1"/>
      <protection locked="0"/>
    </xf>
    <xf numFmtId="0" fontId="4" fillId="0" borderId="36" xfId="0" applyFont="1" applyBorder="1" applyAlignment="1" applyProtection="1">
      <alignment horizontal="center" vertical="top" wrapText="1" readingOrder="1"/>
      <protection locked="0"/>
    </xf>
    <xf numFmtId="0" fontId="4" fillId="0" borderId="17" xfId="0" applyFont="1" applyBorder="1" applyAlignment="1" applyProtection="1">
      <alignment horizontal="left" vertical="top" readingOrder="1"/>
      <protection locked="0"/>
    </xf>
    <xf numFmtId="0" fontId="4" fillId="0" borderId="19" xfId="0" applyFont="1" applyBorder="1" applyAlignment="1" applyProtection="1">
      <alignment horizontal="left" vertical="top" readingOrder="1"/>
      <protection locked="0"/>
    </xf>
    <xf numFmtId="0" fontId="4" fillId="0" borderId="10" xfId="0" applyFont="1" applyBorder="1" applyAlignment="1" applyProtection="1">
      <alignment horizontal="left" vertical="top" wrapText="1" readingOrder="1"/>
      <protection locked="0"/>
    </xf>
    <xf numFmtId="0" fontId="4" fillId="0" borderId="12" xfId="0" applyFont="1" applyBorder="1" applyAlignment="1" applyProtection="1">
      <alignment horizontal="left" vertical="top" wrapText="1" readingOrder="1"/>
      <protection locked="0"/>
    </xf>
    <xf numFmtId="0" fontId="4" fillId="0" borderId="11" xfId="0" applyFont="1" applyBorder="1" applyAlignment="1" applyProtection="1">
      <alignment horizontal="left" vertical="top" wrapText="1" readingOrder="1"/>
      <protection locked="0"/>
    </xf>
    <xf numFmtId="0" fontId="9" fillId="0" borderId="10" xfId="0" applyFont="1" applyBorder="1" applyAlignment="1" applyProtection="1">
      <alignment horizontal="center" vertical="top" wrapText="1" readingOrder="1"/>
      <protection locked="0"/>
    </xf>
    <xf numFmtId="0" fontId="9" fillId="0" borderId="11" xfId="0" applyFont="1" applyBorder="1" applyAlignment="1" applyProtection="1">
      <alignment horizontal="center" vertical="top" wrapText="1" readingOrder="1"/>
      <protection locked="0"/>
    </xf>
    <xf numFmtId="0" fontId="9" fillId="0" borderId="12" xfId="0" applyFont="1" applyBorder="1" applyAlignment="1" applyProtection="1">
      <alignment horizontal="center" vertical="top" wrapText="1" readingOrder="1"/>
      <protection locked="0"/>
    </xf>
    <xf numFmtId="0" fontId="4" fillId="0" borderId="52" xfId="0" applyFont="1" applyBorder="1" applyAlignment="1" applyProtection="1">
      <alignment horizontal="left" vertical="top" wrapText="1" readingOrder="1"/>
      <protection locked="0"/>
    </xf>
    <xf numFmtId="0" fontId="4" fillId="0" borderId="53" xfId="0" applyFont="1" applyBorder="1" applyAlignment="1" applyProtection="1">
      <alignment horizontal="left" vertical="top" wrapText="1" readingOrder="1"/>
      <protection locked="0"/>
    </xf>
    <xf numFmtId="0" fontId="4" fillId="0" borderId="54" xfId="0" applyFont="1" applyBorder="1" applyAlignment="1" applyProtection="1">
      <alignment horizontal="left" vertical="top" wrapText="1" readingOrder="1"/>
      <protection locked="0"/>
    </xf>
    <xf numFmtId="0" fontId="9" fillId="0" borderId="34" xfId="0" applyFont="1" applyBorder="1" applyAlignment="1" applyProtection="1">
      <alignment horizontal="left" vertical="top" wrapText="1" readingOrder="1"/>
      <protection locked="0"/>
    </xf>
    <xf numFmtId="0" fontId="9" fillId="0" borderId="35" xfId="0" applyFont="1" applyBorder="1" applyAlignment="1" applyProtection="1">
      <alignment horizontal="left" vertical="top" wrapText="1" readingOrder="1"/>
      <protection locked="0"/>
    </xf>
    <xf numFmtId="0" fontId="9" fillId="0" borderId="36" xfId="0" applyFont="1" applyBorder="1" applyAlignment="1" applyProtection="1">
      <alignment horizontal="left" vertical="top" wrapText="1" readingOrder="1"/>
      <protection locked="0"/>
    </xf>
    <xf numFmtId="0" fontId="9" fillId="0" borderId="10" xfId="0" applyFont="1" applyBorder="1" applyAlignment="1" applyProtection="1">
      <alignment horizontal="left" vertical="top" wrapText="1" readingOrder="1"/>
      <protection locked="0"/>
    </xf>
    <xf numFmtId="0" fontId="9" fillId="0" borderId="11" xfId="0" applyFont="1" applyBorder="1" applyAlignment="1" applyProtection="1">
      <alignment horizontal="left" vertical="top" wrapText="1" readingOrder="1"/>
      <protection locked="0"/>
    </xf>
    <xf numFmtId="0" fontId="9" fillId="0" borderId="12" xfId="0" applyFont="1" applyBorder="1" applyAlignment="1" applyProtection="1">
      <alignment horizontal="left" vertical="top" wrapText="1" readingOrder="1"/>
      <protection locked="0"/>
    </xf>
    <xf numFmtId="0" fontId="4" fillId="0" borderId="10" xfId="0" applyFont="1" applyBorder="1" applyAlignment="1" applyProtection="1">
      <alignment horizontal="center" vertical="top" readingOrder="1"/>
      <protection locked="0"/>
    </xf>
    <xf numFmtId="0" fontId="4" fillId="0" borderId="11" xfId="0" applyFont="1" applyBorder="1" applyAlignment="1" applyProtection="1">
      <alignment horizontal="center" vertical="top" readingOrder="1"/>
      <protection locked="0"/>
    </xf>
    <xf numFmtId="0" fontId="4" fillId="0" borderId="12" xfId="0" applyFont="1" applyBorder="1" applyAlignment="1" applyProtection="1">
      <alignment horizontal="center" vertical="top" readingOrder="1"/>
      <protection locked="0"/>
    </xf>
    <xf numFmtId="0" fontId="4" fillId="0" borderId="34" xfId="0" applyFont="1" applyBorder="1" applyAlignment="1" applyProtection="1">
      <alignment horizontal="left" vertical="top" wrapText="1" readingOrder="1"/>
      <protection locked="0"/>
    </xf>
    <xf numFmtId="0" fontId="4" fillId="0" borderId="36" xfId="0" applyFont="1" applyBorder="1" applyAlignment="1" applyProtection="1">
      <alignment horizontal="left" vertical="top" wrapText="1" readingOrder="1"/>
      <protection locked="0"/>
    </xf>
    <xf numFmtId="0" fontId="4" fillId="0" borderId="77" xfId="0" applyFont="1" applyBorder="1" applyAlignment="1" applyProtection="1">
      <alignment horizontal="center" vertical="top" wrapText="1" readingOrder="1"/>
      <protection locked="0"/>
    </xf>
    <xf numFmtId="0" fontId="4" fillId="3" borderId="20" xfId="0" applyFont="1" applyFill="1" applyBorder="1" applyAlignment="1" applyProtection="1">
      <alignment horizontal="center" vertical="top" wrapText="1" readingOrder="1"/>
      <protection locked="0"/>
    </xf>
    <xf numFmtId="0" fontId="4" fillId="3" borderId="21" xfId="0" applyFont="1" applyFill="1" applyBorder="1" applyAlignment="1" applyProtection="1">
      <alignment horizontal="center" vertical="top" wrapText="1" readingOrder="1"/>
      <protection locked="0"/>
    </xf>
    <xf numFmtId="0" fontId="4" fillId="3" borderId="22" xfId="0" applyFont="1" applyFill="1" applyBorder="1" applyAlignment="1" applyProtection="1">
      <alignment horizontal="center" vertical="top" wrapText="1" readingOrder="1"/>
      <protection locked="0"/>
    </xf>
    <xf numFmtId="0" fontId="4" fillId="0" borderId="35" xfId="0" applyFont="1" applyBorder="1" applyAlignment="1" applyProtection="1">
      <alignment horizontal="left" vertical="top" wrapText="1" readingOrder="1"/>
      <protection locked="0"/>
    </xf>
    <xf numFmtId="0" fontId="4" fillId="0" borderId="55" xfId="0" applyFont="1" applyBorder="1" applyAlignment="1" applyProtection="1">
      <alignment horizontal="left" vertical="top" wrapText="1" readingOrder="1"/>
      <protection locked="0"/>
    </xf>
    <xf numFmtId="0" fontId="4" fillId="0" borderId="42" xfId="0" applyFont="1" applyBorder="1" applyAlignment="1" applyProtection="1">
      <alignment horizontal="center" vertical="top" readingOrder="1"/>
      <protection locked="0"/>
    </xf>
    <xf numFmtId="0" fontId="4" fillId="12" borderId="42" xfId="0" applyFont="1" applyFill="1" applyBorder="1" applyAlignment="1" applyProtection="1">
      <alignment horizontal="center" vertical="top" readingOrder="1"/>
      <protection locked="0"/>
    </xf>
    <xf numFmtId="0" fontId="4" fillId="12" borderId="11" xfId="0" applyFont="1" applyFill="1" applyBorder="1" applyAlignment="1" applyProtection="1">
      <alignment horizontal="center" vertical="top" readingOrder="1"/>
      <protection locked="0"/>
    </xf>
    <xf numFmtId="0" fontId="4" fillId="12" borderId="12" xfId="0" applyFont="1" applyFill="1" applyBorder="1" applyAlignment="1" applyProtection="1">
      <alignment horizontal="center" vertical="top" readingOrder="1"/>
      <protection locked="0"/>
    </xf>
    <xf numFmtId="0" fontId="4" fillId="0" borderId="42" xfId="0" applyFont="1" applyBorder="1" applyAlignment="1" applyProtection="1">
      <alignment horizontal="left" vertical="top" wrapText="1" readingOrder="1"/>
      <protection locked="0"/>
    </xf>
    <xf numFmtId="0" fontId="4" fillId="0" borderId="56" xfId="0" applyFont="1" applyBorder="1" applyAlignment="1" applyProtection="1">
      <alignment horizontal="center" vertical="top" wrapText="1" readingOrder="1"/>
      <protection locked="0"/>
    </xf>
    <xf numFmtId="3" fontId="4" fillId="0" borderId="10" xfId="0" applyNumberFormat="1" applyFont="1" applyBorder="1" applyAlignment="1" applyProtection="1">
      <alignment horizontal="center" vertical="top" readingOrder="1"/>
      <protection locked="0"/>
    </xf>
    <xf numFmtId="3" fontId="4" fillId="0" borderId="11" xfId="0" applyNumberFormat="1" applyFont="1" applyBorder="1" applyAlignment="1" applyProtection="1">
      <alignment horizontal="center" vertical="top" readingOrder="1"/>
      <protection locked="0"/>
    </xf>
    <xf numFmtId="3" fontId="4" fillId="0" borderId="12" xfId="0" applyNumberFormat="1" applyFont="1" applyBorder="1" applyAlignment="1" applyProtection="1">
      <alignment horizontal="center" vertical="top" readingOrder="1"/>
      <protection locked="0"/>
    </xf>
    <xf numFmtId="3" fontId="4" fillId="11" borderId="10" xfId="0" applyNumberFormat="1" applyFont="1" applyFill="1" applyBorder="1" applyAlignment="1" applyProtection="1">
      <alignment horizontal="center" vertical="top" readingOrder="1"/>
      <protection locked="0"/>
    </xf>
    <xf numFmtId="3" fontId="4" fillId="11" borderId="12" xfId="0" applyNumberFormat="1" applyFont="1" applyFill="1" applyBorder="1" applyAlignment="1" applyProtection="1">
      <alignment horizontal="center" vertical="top" readingOrder="1"/>
      <protection locked="0"/>
    </xf>
    <xf numFmtId="0" fontId="4" fillId="0" borderId="82" xfId="0" applyFont="1" applyBorder="1" applyAlignment="1" applyProtection="1">
      <alignment horizontal="left" vertical="top" wrapText="1" readingOrder="1"/>
      <protection locked="0"/>
    </xf>
    <xf numFmtId="0" fontId="4" fillId="12" borderId="10" xfId="0" applyFont="1" applyFill="1" applyBorder="1" applyAlignment="1" applyProtection="1">
      <alignment horizontal="center" vertical="top" readingOrder="1"/>
      <protection locked="0"/>
    </xf>
    <xf numFmtId="0" fontId="4" fillId="9" borderId="10" xfId="0" applyFont="1" applyFill="1" applyBorder="1" applyAlignment="1" applyProtection="1">
      <alignment horizontal="center" vertical="top" readingOrder="1"/>
      <protection locked="0"/>
    </xf>
    <xf numFmtId="0" fontId="4" fillId="9" borderId="11" xfId="0" applyFont="1" applyFill="1" applyBorder="1" applyAlignment="1" applyProtection="1">
      <alignment horizontal="center" vertical="top" readingOrder="1"/>
      <protection locked="0"/>
    </xf>
    <xf numFmtId="0" fontId="4" fillId="9" borderId="12" xfId="0" applyFont="1" applyFill="1" applyBorder="1" applyAlignment="1" applyProtection="1">
      <alignment horizontal="center" vertical="top" readingOrder="1"/>
      <protection locked="0"/>
    </xf>
    <xf numFmtId="165" fontId="4" fillId="11" borderId="10" xfId="0" applyNumberFormat="1" applyFont="1" applyFill="1" applyBorder="1" applyAlignment="1" applyProtection="1">
      <alignment horizontal="center" vertical="top" readingOrder="1"/>
      <protection locked="0"/>
    </xf>
    <xf numFmtId="165" fontId="4" fillId="11" borderId="11" xfId="0" applyNumberFormat="1" applyFont="1" applyFill="1" applyBorder="1" applyAlignment="1" applyProtection="1">
      <alignment horizontal="center" vertical="top" readingOrder="1"/>
      <protection locked="0"/>
    </xf>
    <xf numFmtId="165" fontId="4" fillId="11" borderId="12" xfId="0" applyNumberFormat="1" applyFont="1" applyFill="1" applyBorder="1" applyAlignment="1" applyProtection="1">
      <alignment horizontal="center" vertical="top" readingOrder="1"/>
      <protection locked="0"/>
    </xf>
    <xf numFmtId="0" fontId="4" fillId="9" borderId="42" xfId="0" applyFont="1" applyFill="1" applyBorder="1" applyAlignment="1" applyProtection="1">
      <alignment horizontal="center" vertical="top" readingOrder="1"/>
      <protection locked="0"/>
    </xf>
    <xf numFmtId="0" fontId="4" fillId="11" borderId="10" xfId="0" applyFont="1" applyFill="1" applyBorder="1" applyAlignment="1" applyProtection="1">
      <alignment horizontal="center" vertical="top" readingOrder="1"/>
      <protection locked="0"/>
    </xf>
    <xf numFmtId="0" fontId="4" fillId="11" borderId="11" xfId="0" applyFont="1" applyFill="1" applyBorder="1" applyAlignment="1" applyProtection="1">
      <alignment horizontal="center" vertical="top" readingOrder="1"/>
      <protection locked="0"/>
    </xf>
    <xf numFmtId="0" fontId="4" fillId="11" borderId="12" xfId="0" applyFont="1" applyFill="1" applyBorder="1" applyAlignment="1" applyProtection="1">
      <alignment horizontal="center" vertical="top" readingOrder="1"/>
      <protection locked="0"/>
    </xf>
    <xf numFmtId="3" fontId="4" fillId="12" borderId="10" xfId="0" applyNumberFormat="1" applyFont="1" applyFill="1" applyBorder="1" applyAlignment="1" applyProtection="1">
      <alignment horizontal="center" vertical="top" readingOrder="1"/>
      <protection locked="0"/>
    </xf>
    <xf numFmtId="3" fontId="4" fillId="12" borderId="11" xfId="0" applyNumberFormat="1" applyFont="1" applyFill="1" applyBorder="1" applyAlignment="1" applyProtection="1">
      <alignment horizontal="center" vertical="top" readingOrder="1"/>
      <protection locked="0"/>
    </xf>
    <xf numFmtId="3" fontId="4" fillId="12" borderId="12" xfId="0" applyNumberFormat="1" applyFont="1" applyFill="1" applyBorder="1" applyAlignment="1" applyProtection="1">
      <alignment horizontal="center" vertical="top" readingOrder="1"/>
      <protection locked="0"/>
    </xf>
    <xf numFmtId="0" fontId="7" fillId="0" borderId="10" xfId="0" applyFont="1" applyBorder="1" applyAlignment="1" applyProtection="1">
      <alignment horizontal="left" vertical="top" wrapText="1" readingOrder="1"/>
      <protection locked="0"/>
    </xf>
    <xf numFmtId="0" fontId="7" fillId="0" borderId="11" xfId="0" applyFont="1" applyBorder="1" applyAlignment="1" applyProtection="1">
      <alignment horizontal="left" vertical="top" wrapText="1" readingOrder="1"/>
      <protection locked="0"/>
    </xf>
    <xf numFmtId="0" fontId="7" fillId="0" borderId="12" xfId="0" applyFont="1" applyBorder="1" applyAlignment="1" applyProtection="1">
      <alignment horizontal="left" vertical="top" wrapText="1" readingOrder="1"/>
      <protection locked="0"/>
    </xf>
    <xf numFmtId="0" fontId="9" fillId="0" borderId="56" xfId="0" applyFont="1" applyBorder="1" applyAlignment="1" applyProtection="1">
      <alignment horizontal="left" vertical="top" wrapText="1" readingOrder="1"/>
      <protection locked="0"/>
    </xf>
    <xf numFmtId="0" fontId="7" fillId="0" borderId="34" xfId="0" applyFont="1" applyBorder="1" applyAlignment="1" applyProtection="1">
      <alignment horizontal="left" vertical="top" wrapText="1" readingOrder="1"/>
      <protection locked="0"/>
    </xf>
    <xf numFmtId="0" fontId="7" fillId="0" borderId="35" xfId="0" applyFont="1" applyBorder="1" applyAlignment="1" applyProtection="1">
      <alignment horizontal="left" vertical="top" wrapText="1" readingOrder="1"/>
      <protection locked="0"/>
    </xf>
    <xf numFmtId="0" fontId="7" fillId="0" borderId="36" xfId="0" applyFont="1" applyBorder="1" applyAlignment="1" applyProtection="1">
      <alignment horizontal="left" vertical="top" wrapText="1" readingOrder="1"/>
      <protection locked="0"/>
    </xf>
    <xf numFmtId="0" fontId="7" fillId="10" borderId="10" xfId="0" applyFont="1" applyFill="1" applyBorder="1" applyAlignment="1" applyProtection="1">
      <alignment horizontal="center" vertical="top" readingOrder="1"/>
      <protection locked="0"/>
    </xf>
    <xf numFmtId="0" fontId="7" fillId="10" borderId="11" xfId="0" applyFont="1" applyFill="1" applyBorder="1" applyAlignment="1" applyProtection="1">
      <alignment horizontal="center" vertical="top" readingOrder="1"/>
      <protection locked="0"/>
    </xf>
    <xf numFmtId="0" fontId="7" fillId="10" borderId="12" xfId="0" applyFont="1" applyFill="1" applyBorder="1" applyAlignment="1" applyProtection="1">
      <alignment horizontal="center" vertical="top" readingOrder="1"/>
      <protection locked="0"/>
    </xf>
    <xf numFmtId="0" fontId="4" fillId="4" borderId="20" xfId="0" applyFont="1" applyFill="1" applyBorder="1" applyAlignment="1" applyProtection="1">
      <alignment horizontal="center" vertical="top" wrapText="1" readingOrder="1"/>
      <protection locked="0"/>
    </xf>
    <xf numFmtId="0" fontId="4" fillId="4" borderId="22" xfId="0" applyFont="1" applyFill="1" applyBorder="1" applyAlignment="1" applyProtection="1">
      <alignment horizontal="center" vertical="top" wrapText="1" readingOrder="1"/>
      <protection locked="0"/>
    </xf>
    <xf numFmtId="0" fontId="4" fillId="11" borderId="42" xfId="0" applyFont="1" applyFill="1" applyBorder="1" applyAlignment="1" applyProtection="1">
      <alignment horizontal="center" vertical="top" readingOrder="1"/>
      <protection locked="0"/>
    </xf>
    <xf numFmtId="0" fontId="7" fillId="0" borderId="42" xfId="0" applyFont="1" applyBorder="1" applyAlignment="1" applyProtection="1">
      <alignment horizontal="left" vertical="top" wrapText="1" readingOrder="1"/>
      <protection locked="0"/>
    </xf>
    <xf numFmtId="0" fontId="4" fillId="0" borderId="56" xfId="0" applyFont="1" applyBorder="1" applyAlignment="1" applyProtection="1">
      <alignment horizontal="left" vertical="top" wrapText="1" readingOrder="1"/>
      <protection locked="0"/>
    </xf>
    <xf numFmtId="164" fontId="4" fillId="12" borderId="10" xfId="0" applyNumberFormat="1" applyFont="1" applyFill="1" applyBorder="1" applyAlignment="1" applyProtection="1">
      <alignment horizontal="center" vertical="top" readingOrder="1"/>
      <protection locked="0"/>
    </xf>
    <xf numFmtId="164" fontId="4" fillId="12" borderId="11" xfId="0" applyNumberFormat="1" applyFont="1" applyFill="1" applyBorder="1" applyAlignment="1" applyProtection="1">
      <alignment horizontal="center" vertical="top" readingOrder="1"/>
      <protection locked="0"/>
    </xf>
    <xf numFmtId="164" fontId="4" fillId="12" borderId="12" xfId="0" applyNumberFormat="1" applyFont="1" applyFill="1" applyBorder="1" applyAlignment="1" applyProtection="1">
      <alignment horizontal="center" vertical="top" readingOrder="1"/>
      <protection locked="0"/>
    </xf>
    <xf numFmtId="0" fontId="4" fillId="0" borderId="42" xfId="0" applyFont="1" applyBorder="1" applyAlignment="1" applyProtection="1">
      <alignment horizontal="center" vertical="top" wrapText="1" readingOrder="1"/>
      <protection locked="0"/>
    </xf>
    <xf numFmtId="0" fontId="9" fillId="0" borderId="42" xfId="0" applyFont="1" applyBorder="1" applyAlignment="1" applyProtection="1">
      <alignment horizontal="left" vertical="top" wrapText="1" readingOrder="1"/>
      <protection locked="0"/>
    </xf>
    <xf numFmtId="0" fontId="4" fillId="8" borderId="10" xfId="0" applyFont="1" applyFill="1" applyBorder="1" applyAlignment="1" applyProtection="1">
      <alignment horizontal="center" vertical="top" readingOrder="1"/>
      <protection locked="0"/>
    </xf>
    <xf numFmtId="0" fontId="4" fillId="8" borderId="11" xfId="0" applyFont="1" applyFill="1" applyBorder="1" applyAlignment="1" applyProtection="1">
      <alignment horizontal="center" vertical="top" readingOrder="1"/>
      <protection locked="0"/>
    </xf>
    <xf numFmtId="0" fontId="4" fillId="8" borderId="12" xfId="0" applyFont="1" applyFill="1" applyBorder="1" applyAlignment="1" applyProtection="1">
      <alignment horizontal="center" vertical="top" readingOrder="1"/>
      <protection locked="0"/>
    </xf>
    <xf numFmtId="0" fontId="4" fillId="0" borderId="90" xfId="0" applyFont="1" applyBorder="1" applyAlignment="1" applyProtection="1">
      <alignment horizontal="left" vertical="top" wrapText="1" readingOrder="1"/>
      <protection locked="0"/>
    </xf>
    <xf numFmtId="0" fontId="4" fillId="0" borderId="87" xfId="0" applyFont="1" applyBorder="1" applyAlignment="1" applyProtection="1">
      <alignment horizontal="left" vertical="top" wrapText="1" readingOrder="1"/>
      <protection locked="0"/>
    </xf>
    <xf numFmtId="0" fontId="4" fillId="0" borderId="70" xfId="0" applyFont="1" applyBorder="1" applyAlignment="1" applyProtection="1">
      <alignment horizontal="center" vertical="top" readingOrder="1"/>
      <protection locked="0"/>
    </xf>
    <xf numFmtId="0" fontId="4" fillId="0" borderId="77" xfId="0" applyFont="1" applyBorder="1" applyAlignment="1" applyProtection="1">
      <alignment horizontal="center" vertical="top" readingOrder="1"/>
      <protection locked="0"/>
    </xf>
    <xf numFmtId="0" fontId="4" fillId="10" borderId="70" xfId="0" applyFont="1" applyFill="1" applyBorder="1" applyAlignment="1" applyProtection="1">
      <alignment horizontal="center" vertical="top" readingOrder="1"/>
      <protection locked="0"/>
    </xf>
    <xf numFmtId="0" fontId="4" fillId="10" borderId="11" xfId="0" applyFont="1" applyFill="1" applyBorder="1" applyAlignment="1" applyProtection="1">
      <alignment horizontal="center" vertical="top" readingOrder="1"/>
      <protection locked="0"/>
    </xf>
    <xf numFmtId="0" fontId="4" fillId="10" borderId="77" xfId="0" applyFont="1" applyFill="1" applyBorder="1" applyAlignment="1" applyProtection="1">
      <alignment horizontal="center" vertical="top" readingOrder="1"/>
      <protection locked="0"/>
    </xf>
    <xf numFmtId="0" fontId="4" fillId="8" borderId="70" xfId="0" applyFont="1" applyFill="1" applyBorder="1" applyAlignment="1" applyProtection="1">
      <alignment horizontal="center" vertical="top" readingOrder="1"/>
      <protection locked="0"/>
    </xf>
    <xf numFmtId="0" fontId="4" fillId="8" borderId="77" xfId="0" applyFont="1" applyFill="1" applyBorder="1" applyAlignment="1" applyProtection="1">
      <alignment horizontal="center" vertical="top" readingOrder="1"/>
      <protection locked="0"/>
    </xf>
    <xf numFmtId="0" fontId="11" fillId="0" borderId="70" xfId="0" applyFont="1" applyBorder="1" applyAlignment="1" applyProtection="1">
      <alignment horizontal="left" vertical="top" wrapText="1" readingOrder="1"/>
      <protection locked="0"/>
    </xf>
    <xf numFmtId="0" fontId="11" fillId="0" borderId="11" xfId="0" applyFont="1" applyBorder="1" applyAlignment="1" applyProtection="1">
      <alignment horizontal="left" vertical="top" wrapText="1" readingOrder="1"/>
      <protection locked="0"/>
    </xf>
    <xf numFmtId="0" fontId="11" fillId="0" borderId="77" xfId="0" applyFont="1" applyBorder="1" applyAlignment="1" applyProtection="1">
      <alignment horizontal="left" vertical="top" wrapText="1" readingOrder="1"/>
      <protection locked="0"/>
    </xf>
    <xf numFmtId="0" fontId="4" fillId="0" borderId="73" xfId="0" applyFont="1" applyBorder="1" applyAlignment="1" applyProtection="1">
      <alignment horizontal="left" vertical="top" wrapText="1" readingOrder="1"/>
      <protection locked="0"/>
    </xf>
    <xf numFmtId="0" fontId="4" fillId="0" borderId="75" xfId="0" applyFont="1" applyBorder="1" applyAlignment="1" applyProtection="1">
      <alignment horizontal="left" vertical="top" wrapText="1" readingOrder="1"/>
      <protection locked="0"/>
    </xf>
    <xf numFmtId="0" fontId="4" fillId="0" borderId="80" xfId="0" applyFont="1" applyBorder="1" applyAlignment="1" applyProtection="1">
      <alignment horizontal="left" vertical="top" wrapText="1" readingOrder="1"/>
      <protection locked="0"/>
    </xf>
    <xf numFmtId="0" fontId="4" fillId="0" borderId="70" xfId="0" applyFont="1" applyBorder="1" applyAlignment="1" applyProtection="1">
      <alignment horizontal="left" vertical="top" wrapText="1" readingOrder="1"/>
      <protection locked="0"/>
    </xf>
    <xf numFmtId="0" fontId="4" fillId="0" borderId="77" xfId="0" applyFont="1" applyBorder="1" applyAlignment="1" applyProtection="1">
      <alignment horizontal="left" vertical="top" wrapText="1" readingOrder="1"/>
      <protection locked="0"/>
    </xf>
    <xf numFmtId="0" fontId="4" fillId="4" borderId="26" xfId="0" applyFont="1" applyFill="1" applyBorder="1" applyAlignment="1" applyProtection="1">
      <alignment horizontal="center" vertical="top" wrapText="1" readingOrder="1"/>
      <protection locked="0"/>
    </xf>
    <xf numFmtId="0" fontId="4" fillId="4" borderId="27" xfId="0" applyFont="1" applyFill="1" applyBorder="1" applyAlignment="1" applyProtection="1">
      <alignment horizontal="center" vertical="top" wrapText="1" readingOrder="1"/>
      <protection locked="0"/>
    </xf>
    <xf numFmtId="0" fontId="4" fillId="4" borderId="30" xfId="0" applyFont="1" applyFill="1" applyBorder="1" applyAlignment="1" applyProtection="1">
      <alignment horizontal="center" vertical="top" wrapText="1" readingOrder="1"/>
      <protection locked="0"/>
    </xf>
    <xf numFmtId="0" fontId="4" fillId="4" borderId="31" xfId="0" applyFont="1" applyFill="1" applyBorder="1" applyAlignment="1" applyProtection="1">
      <alignment horizontal="center" vertical="top" wrapText="1" readingOrder="1"/>
      <protection locked="0"/>
    </xf>
    <xf numFmtId="0" fontId="4" fillId="4" borderId="28" xfId="0" applyFont="1" applyFill="1" applyBorder="1" applyAlignment="1" applyProtection="1">
      <alignment horizontal="center" vertical="top" wrapText="1" readingOrder="1"/>
      <protection locked="0"/>
    </xf>
    <xf numFmtId="0" fontId="4" fillId="4" borderId="29" xfId="0" applyFont="1" applyFill="1" applyBorder="1" applyAlignment="1" applyProtection="1">
      <alignment horizontal="center" vertical="top" wrapText="1" readingOrder="1"/>
      <protection locked="0"/>
    </xf>
    <xf numFmtId="0" fontId="4" fillId="0" borderId="18" xfId="0" applyFont="1" applyBorder="1" applyAlignment="1" applyProtection="1">
      <alignment horizontal="left" vertical="top" readingOrder="1"/>
      <protection locked="0"/>
    </xf>
    <xf numFmtId="0" fontId="4" fillId="3" borderId="26" xfId="0" applyFont="1" applyFill="1" applyBorder="1" applyAlignment="1" applyProtection="1">
      <alignment horizontal="center" vertical="top" wrapText="1" readingOrder="1"/>
      <protection locked="0"/>
    </xf>
    <xf numFmtId="0" fontId="4" fillId="3" borderId="57" xfId="0" applyFont="1" applyFill="1" applyBorder="1" applyAlignment="1" applyProtection="1">
      <alignment horizontal="center" vertical="top" wrapText="1" readingOrder="1"/>
      <protection locked="0"/>
    </xf>
    <xf numFmtId="0" fontId="4" fillId="3" borderId="27" xfId="0" applyFont="1" applyFill="1" applyBorder="1" applyAlignment="1" applyProtection="1">
      <alignment horizontal="center" vertical="top" wrapText="1" readingOrder="1"/>
      <protection locked="0"/>
    </xf>
    <xf numFmtId="0" fontId="4" fillId="0" borderId="69" xfId="0" applyFont="1" applyBorder="1" applyAlignment="1" applyProtection="1">
      <alignment horizontal="left" vertical="top" readingOrder="1"/>
      <protection locked="0"/>
    </xf>
    <xf numFmtId="0" fontId="4" fillId="0" borderId="74" xfId="0" applyFont="1" applyBorder="1" applyAlignment="1" applyProtection="1">
      <alignment horizontal="left" vertical="top" readingOrder="1"/>
      <protection locked="0"/>
    </xf>
    <xf numFmtId="0" fontId="4" fillId="0" borderId="76" xfId="0" applyFont="1" applyBorder="1" applyAlignment="1" applyProtection="1">
      <alignment horizontal="left" vertical="top" readingOrder="1"/>
      <protection locked="0"/>
    </xf>
    <xf numFmtId="0" fontId="4" fillId="9" borderId="77" xfId="0" applyFont="1" applyFill="1" applyBorder="1" applyAlignment="1" applyProtection="1">
      <alignment horizontal="center" vertical="top" readingOrder="1"/>
      <protection locked="0"/>
    </xf>
    <xf numFmtId="0" fontId="4" fillId="0" borderId="85" xfId="0" applyFont="1" applyBorder="1" applyAlignment="1" applyProtection="1">
      <alignment horizontal="left" vertical="top" wrapText="1" readingOrder="1"/>
      <protection locked="0"/>
    </xf>
    <xf numFmtId="0" fontId="4" fillId="0" borderId="88" xfId="0" applyFont="1" applyBorder="1" applyAlignment="1" applyProtection="1">
      <alignment horizontal="left" vertical="top" wrapText="1" readingOrder="1"/>
      <protection locked="0"/>
    </xf>
    <xf numFmtId="0" fontId="4" fillId="0" borderId="86" xfId="0" applyFont="1" applyBorder="1" applyAlignment="1" applyProtection="1">
      <alignment horizontal="center" vertical="top" wrapText="1" readingOrder="1"/>
      <protection locked="0"/>
    </xf>
    <xf numFmtId="0" fontId="4" fillId="0" borderId="89" xfId="0" applyFont="1" applyBorder="1" applyAlignment="1" applyProtection="1">
      <alignment horizontal="center" vertical="top" wrapText="1" readingOrder="1"/>
      <protection locked="0"/>
    </xf>
    <xf numFmtId="0" fontId="4" fillId="3" borderId="39" xfId="0" applyFont="1" applyFill="1" applyBorder="1" applyAlignment="1" applyProtection="1">
      <alignment horizontal="center" vertical="top" wrapText="1" readingOrder="1"/>
      <protection locked="0"/>
    </xf>
    <xf numFmtId="0" fontId="4" fillId="3" borderId="40" xfId="0" applyFont="1" applyFill="1" applyBorder="1" applyAlignment="1" applyProtection="1">
      <alignment horizontal="center" vertical="top" wrapText="1" readingOrder="1"/>
      <protection locked="0"/>
    </xf>
    <xf numFmtId="0" fontId="4" fillId="8" borderId="42" xfId="0" applyFont="1" applyFill="1" applyBorder="1" applyAlignment="1" applyProtection="1">
      <alignment horizontal="center" vertical="top" readingOrder="1"/>
      <protection locked="0"/>
    </xf>
    <xf numFmtId="0" fontId="9" fillId="0" borderId="81" xfId="0" applyFont="1" applyBorder="1" applyAlignment="1" applyProtection="1">
      <alignment horizontal="left" vertical="top" wrapText="1" readingOrder="1"/>
      <protection locked="0"/>
    </xf>
    <xf numFmtId="0" fontId="13" fillId="0" borderId="35" xfId="0" applyFont="1" applyBorder="1" applyAlignment="1" applyProtection="1">
      <alignment horizontal="left" vertical="top" wrapText="1" readingOrder="1"/>
      <protection locked="0"/>
    </xf>
    <xf numFmtId="0" fontId="13" fillId="0" borderId="36" xfId="0" applyFont="1" applyBorder="1" applyAlignment="1" applyProtection="1">
      <alignment horizontal="left" vertical="top" wrapText="1" readingOrder="1"/>
      <protection locked="0"/>
    </xf>
    <xf numFmtId="0" fontId="7" fillId="11" borderId="10" xfId="0" applyFont="1" applyFill="1" applyBorder="1" applyAlignment="1" applyProtection="1">
      <alignment horizontal="center" vertical="top" readingOrder="1"/>
      <protection locked="0"/>
    </xf>
    <xf numFmtId="0" fontId="7" fillId="11" borderId="11" xfId="0" applyFont="1" applyFill="1" applyBorder="1" applyAlignment="1" applyProtection="1">
      <alignment horizontal="center" vertical="top" readingOrder="1"/>
      <protection locked="0"/>
    </xf>
    <xf numFmtId="0" fontId="7" fillId="11" borderId="12" xfId="0" applyFont="1" applyFill="1" applyBorder="1" applyAlignment="1" applyProtection="1">
      <alignment horizontal="center" vertical="top" readingOrder="1"/>
      <protection locked="0"/>
    </xf>
    <xf numFmtId="0" fontId="1" fillId="2" borderId="0" xfId="0" applyFont="1" applyFill="1" applyAlignment="1">
      <alignment horizontal="center"/>
    </xf>
    <xf numFmtId="0" fontId="3" fillId="0" borderId="7" xfId="0" applyFont="1" applyBorder="1" applyAlignment="1">
      <alignment horizontal="center" readingOrder="1"/>
    </xf>
    <xf numFmtId="0" fontId="3" fillId="0" borderId="5" xfId="0" applyFont="1" applyBorder="1" applyAlignment="1">
      <alignment horizontal="center" readingOrder="1"/>
    </xf>
    <xf numFmtId="0" fontId="3" fillId="0" borderId="2" xfId="0" applyFont="1" applyBorder="1" applyAlignment="1">
      <alignment horizontal="center" readingOrder="1"/>
    </xf>
    <xf numFmtId="0" fontId="3" fillId="0" borderId="8" xfId="0" applyFont="1" applyBorder="1" applyAlignment="1">
      <alignment horizontal="center" wrapText="1" readingOrder="1"/>
    </xf>
    <xf numFmtId="0" fontId="3" fillId="0" borderId="1" xfId="0" applyFont="1" applyBorder="1" applyAlignment="1">
      <alignment horizontal="center" wrapText="1" readingOrder="1"/>
    </xf>
    <xf numFmtId="0" fontId="3" fillId="0" borderId="3" xfId="0" applyFont="1" applyBorder="1" applyAlignment="1">
      <alignment horizontal="center" wrapText="1" readingOrder="1"/>
    </xf>
    <xf numFmtId="0" fontId="3" fillId="0" borderId="8" xfId="0" applyFont="1" applyBorder="1" applyAlignment="1">
      <alignment horizontal="center" readingOrder="1"/>
    </xf>
    <xf numFmtId="0" fontId="3" fillId="0" borderId="1" xfId="0" applyFont="1" applyBorder="1" applyAlignment="1">
      <alignment horizontal="center" readingOrder="1"/>
    </xf>
    <xf numFmtId="0" fontId="3" fillId="0" borderId="3" xfId="0" applyFont="1" applyBorder="1" applyAlignment="1">
      <alignment horizontal="center" readingOrder="1"/>
    </xf>
    <xf numFmtId="0" fontId="3" fillId="0" borderId="6" xfId="0" applyFont="1" applyBorder="1" applyAlignment="1">
      <alignment horizontal="center" wrapText="1" readingOrder="1"/>
    </xf>
    <xf numFmtId="0" fontId="3" fillId="0" borderId="4" xfId="0" applyFont="1" applyBorder="1" applyAlignment="1">
      <alignment horizontal="center" wrapText="1" readingOrder="1"/>
    </xf>
    <xf numFmtId="0" fontId="3" fillId="0" borderId="8" xfId="0" applyFont="1" applyBorder="1" applyAlignment="1">
      <alignment horizontal="center" wrapText="1"/>
    </xf>
    <xf numFmtId="0" fontId="3" fillId="0" borderId="8" xfId="0" applyFont="1" applyBorder="1" applyAlignment="1">
      <alignment horizontal="center" vertical="center" readingOrder="1"/>
    </xf>
    <xf numFmtId="0" fontId="3" fillId="0" borderId="8" xfId="0" applyFont="1" applyBorder="1" applyAlignment="1">
      <alignment horizontal="center" vertical="center"/>
    </xf>
    <xf numFmtId="0" fontId="3" fillId="0" borderId="9" xfId="0" applyFont="1" applyBorder="1" applyAlignment="1">
      <alignment horizontal="center" vertical="center"/>
    </xf>
    <xf numFmtId="9" fontId="20" fillId="0" borderId="10" xfId="0" applyNumberFormat="1" applyFont="1" applyBorder="1" applyAlignment="1">
      <alignment horizontal="center" vertical="center" wrapText="1"/>
    </xf>
    <xf numFmtId="9" fontId="20" fillId="0" borderId="11" xfId="0" applyNumberFormat="1" applyFont="1" applyBorder="1" applyAlignment="1">
      <alignment horizontal="center" vertical="center" wrapText="1"/>
    </xf>
    <xf numFmtId="9" fontId="20" fillId="0" borderId="12" xfId="0" applyNumberFormat="1" applyFont="1" applyBorder="1" applyAlignment="1">
      <alignment horizontal="center" vertical="center" wrapText="1"/>
    </xf>
    <xf numFmtId="0" fontId="3" fillId="0" borderId="1" xfId="0" applyFont="1" applyBorder="1" applyAlignment="1">
      <alignment horizontal="center"/>
    </xf>
    <xf numFmtId="0" fontId="3" fillId="0" borderId="1" xfId="0" applyFont="1" applyBorder="1" applyAlignment="1">
      <alignment horizontal="center" vertical="center" wrapText="1" readingOrder="1"/>
    </xf>
    <xf numFmtId="0" fontId="3" fillId="0" borderId="1" xfId="0" applyFont="1" applyBorder="1" applyAlignment="1">
      <alignment horizontal="center" wrapText="1"/>
    </xf>
    <xf numFmtId="0" fontId="4" fillId="4" borderId="10" xfId="0" applyFont="1" applyFill="1" applyBorder="1" applyAlignment="1" applyProtection="1">
      <alignment horizontal="left" vertical="top" wrapText="1" readingOrder="1"/>
      <protection locked="0"/>
    </xf>
    <xf numFmtId="0" fontId="4" fillId="4" borderId="11" xfId="0" applyFont="1" applyFill="1" applyBorder="1" applyAlignment="1" applyProtection="1">
      <alignment horizontal="left" vertical="top" wrapText="1" readingOrder="1"/>
      <protection locked="0"/>
    </xf>
    <xf numFmtId="0" fontId="4" fillId="4" borderId="12" xfId="0" applyFont="1" applyFill="1" applyBorder="1" applyAlignment="1" applyProtection="1">
      <alignment horizontal="left" vertical="top" wrapText="1" readingOrder="1"/>
      <protection locked="0"/>
    </xf>
    <xf numFmtId="0" fontId="4" fillId="5" borderId="20" xfId="0" applyFont="1" applyFill="1" applyBorder="1" applyAlignment="1" applyProtection="1">
      <alignment horizontal="center" vertical="top" wrapText="1" readingOrder="1"/>
      <protection locked="0"/>
    </xf>
    <xf numFmtId="0" fontId="4" fillId="5" borderId="21" xfId="0" applyFont="1" applyFill="1" applyBorder="1" applyAlignment="1" applyProtection="1">
      <alignment horizontal="center" vertical="top" wrapText="1" readingOrder="1"/>
      <protection locked="0"/>
    </xf>
    <xf numFmtId="0" fontId="4" fillId="5" borderId="22" xfId="0" applyFont="1" applyFill="1" applyBorder="1" applyAlignment="1" applyProtection="1">
      <alignment horizontal="center" vertical="top" wrapText="1" readingOrder="1"/>
      <protection locked="0"/>
    </xf>
    <xf numFmtId="0" fontId="4" fillId="5" borderId="30" xfId="0" applyFont="1" applyFill="1" applyBorder="1" applyAlignment="1" applyProtection="1">
      <alignment horizontal="center" vertical="top" wrapText="1" readingOrder="1"/>
      <protection locked="0"/>
    </xf>
    <xf numFmtId="0" fontId="4" fillId="5" borderId="68" xfId="0" applyFont="1" applyFill="1" applyBorder="1" applyAlignment="1" applyProtection="1">
      <alignment horizontal="center" vertical="top" wrapText="1" readingOrder="1"/>
      <protection locked="0"/>
    </xf>
    <xf numFmtId="0" fontId="4" fillId="5" borderId="31" xfId="0" applyFont="1" applyFill="1" applyBorder="1" applyAlignment="1" applyProtection="1">
      <alignment horizontal="center" vertical="top" wrapText="1" readingOrder="1"/>
      <protection locked="0"/>
    </xf>
    <xf numFmtId="0" fontId="4" fillId="4" borderId="17" xfId="0" applyFont="1" applyFill="1" applyBorder="1" applyAlignment="1" applyProtection="1">
      <alignment horizontal="left" vertical="top" readingOrder="1"/>
      <protection locked="0"/>
    </xf>
    <xf numFmtId="0" fontId="4" fillId="4" borderId="18" xfId="0" applyFont="1" applyFill="1" applyBorder="1" applyAlignment="1" applyProtection="1">
      <alignment horizontal="left" vertical="top" readingOrder="1"/>
      <protection locked="0"/>
    </xf>
    <xf numFmtId="0" fontId="4" fillId="4" borderId="19" xfId="0" applyFont="1" applyFill="1" applyBorder="1" applyAlignment="1" applyProtection="1">
      <alignment horizontal="left" vertical="top" readingOrder="1"/>
      <protection locked="0"/>
    </xf>
    <xf numFmtId="0" fontId="4" fillId="4" borderId="28" xfId="0" applyFont="1" applyFill="1" applyBorder="1" applyAlignment="1" applyProtection="1">
      <alignment horizontal="left" vertical="top" wrapText="1" readingOrder="1"/>
      <protection locked="0"/>
    </xf>
    <xf numFmtId="0" fontId="13" fillId="0" borderId="34" xfId="0" applyFont="1" applyBorder="1" applyAlignment="1" applyProtection="1">
      <alignment horizontal="left" vertical="top" wrapText="1" readingOrder="1"/>
      <protection locked="0"/>
    </xf>
    <xf numFmtId="0" fontId="4" fillId="0" borderId="72" xfId="0" applyFont="1" applyBorder="1" applyAlignment="1" applyProtection="1">
      <alignment horizontal="left" vertical="top" wrapText="1" readingOrder="1"/>
      <protection locked="0"/>
    </xf>
    <xf numFmtId="0" fontId="4" fillId="0" borderId="60" xfId="0" applyFont="1" applyBorder="1" applyAlignment="1" applyProtection="1">
      <alignment horizontal="left" vertical="top" wrapText="1" readingOrder="1"/>
      <protection locked="0"/>
    </xf>
    <xf numFmtId="0" fontId="4" fillId="0" borderId="79" xfId="0" applyFont="1" applyBorder="1" applyAlignment="1" applyProtection="1">
      <alignment horizontal="left" vertical="top" wrapText="1" readingOrder="1"/>
      <protection locked="0"/>
    </xf>
    <xf numFmtId="3" fontId="4" fillId="11" borderId="11" xfId="0" applyNumberFormat="1" applyFont="1" applyFill="1" applyBorder="1" applyAlignment="1" applyProtection="1">
      <alignment horizontal="center" vertical="top" readingOrder="1"/>
      <protection locked="0"/>
    </xf>
    <xf numFmtId="3" fontId="4" fillId="0" borderId="42" xfId="0" applyNumberFormat="1" applyFont="1" applyBorder="1" applyAlignment="1" applyProtection="1">
      <alignment horizontal="center" vertical="top" readingOrder="1"/>
      <protection locked="0"/>
    </xf>
    <xf numFmtId="3" fontId="4" fillId="12" borderId="42" xfId="0" applyNumberFormat="1" applyFont="1" applyFill="1" applyBorder="1" applyAlignment="1" applyProtection="1">
      <alignment horizontal="center" vertical="top" readingOrder="1"/>
      <protection locked="0"/>
    </xf>
    <xf numFmtId="0" fontId="13" fillId="0" borderId="62" xfId="0" applyFont="1" applyBorder="1" applyAlignment="1" applyProtection="1">
      <alignment horizontal="center" vertical="top" wrapText="1" readingOrder="1"/>
      <protection locked="0"/>
    </xf>
    <xf numFmtId="0" fontId="7" fillId="8" borderId="10" xfId="0" applyFont="1" applyFill="1" applyBorder="1" applyAlignment="1" applyProtection="1">
      <alignment horizontal="center" vertical="top" readingOrder="1"/>
      <protection locked="0"/>
    </xf>
    <xf numFmtId="0" fontId="7" fillId="8" borderId="11" xfId="0" applyFont="1" applyFill="1" applyBorder="1" applyAlignment="1" applyProtection="1">
      <alignment horizontal="center" vertical="top" readingOrder="1"/>
      <protection locked="0"/>
    </xf>
    <xf numFmtId="0" fontId="7" fillId="8" borderId="12" xfId="0" applyFont="1" applyFill="1" applyBorder="1" applyAlignment="1" applyProtection="1">
      <alignment horizontal="center" vertical="top" readingOrder="1"/>
      <protection locked="0"/>
    </xf>
    <xf numFmtId="0" fontId="4" fillId="3" borderId="30" xfId="0" applyFont="1" applyFill="1" applyBorder="1" applyAlignment="1" applyProtection="1">
      <alignment horizontal="center" vertical="top" wrapText="1" readingOrder="1"/>
      <protection locked="0"/>
    </xf>
    <xf numFmtId="0" fontId="4" fillId="3" borderId="68" xfId="0" applyFont="1" applyFill="1" applyBorder="1" applyAlignment="1" applyProtection="1">
      <alignment horizontal="center" vertical="top" wrapText="1" readingOrder="1"/>
      <protection locked="0"/>
    </xf>
    <xf numFmtId="0" fontId="4" fillId="3" borderId="31" xfId="0" applyFont="1" applyFill="1" applyBorder="1" applyAlignment="1" applyProtection="1">
      <alignment horizontal="center" vertical="top" wrapText="1" readingOrder="1"/>
      <protection locked="0"/>
    </xf>
    <xf numFmtId="0" fontId="4" fillId="3" borderId="33" xfId="0" applyFont="1" applyFill="1" applyBorder="1" applyAlignment="1" applyProtection="1">
      <alignment horizontal="center" vertical="top" wrapText="1" readingOrder="1"/>
      <protection locked="0"/>
    </xf>
    <xf numFmtId="0" fontId="7" fillId="0" borderId="42" xfId="0" applyFont="1" applyBorder="1" applyAlignment="1" applyProtection="1">
      <alignment horizontal="center" vertical="top" wrapText="1" readingOrder="1"/>
      <protection locked="0"/>
    </xf>
    <xf numFmtId="0" fontId="7" fillId="0" borderId="12" xfId="0" applyFont="1" applyBorder="1" applyAlignment="1" applyProtection="1">
      <alignment horizontal="center" vertical="top" wrapText="1" readingOrder="1"/>
      <protection locked="0"/>
    </xf>
    <xf numFmtId="3" fontId="4" fillId="10" borderId="10" xfId="0" applyNumberFormat="1" applyFont="1" applyFill="1" applyBorder="1" applyAlignment="1" applyProtection="1">
      <alignment horizontal="center" vertical="top" readingOrder="1"/>
      <protection locked="0"/>
    </xf>
    <xf numFmtId="3" fontId="4" fillId="10" borderId="12" xfId="0" applyNumberFormat="1" applyFont="1" applyFill="1" applyBorder="1" applyAlignment="1" applyProtection="1">
      <alignment horizontal="center" vertical="top" readingOrder="1"/>
      <protection locked="0"/>
    </xf>
    <xf numFmtId="0" fontId="2" fillId="0" borderId="70" xfId="0" applyFont="1" applyBorder="1" applyAlignment="1">
      <alignment horizontal="center" wrapText="1"/>
    </xf>
    <xf numFmtId="0" fontId="2" fillId="0" borderId="12" xfId="0" applyFont="1" applyBorder="1" applyAlignment="1">
      <alignment horizontal="center" wrapText="1"/>
    </xf>
    <xf numFmtId="0" fontId="9" fillId="0" borderId="82" xfId="0" applyFont="1" applyBorder="1" applyAlignment="1" applyProtection="1">
      <alignment horizontal="center" vertical="top" wrapText="1" readingOrder="1"/>
      <protection locked="0"/>
    </xf>
    <xf numFmtId="0" fontId="4" fillId="0" borderId="83" xfId="0" applyFont="1" applyBorder="1" applyAlignment="1" applyProtection="1">
      <alignment horizontal="left" vertical="top" wrapText="1" readingOrder="1"/>
      <protection locked="0"/>
    </xf>
    <xf numFmtId="0" fontId="4" fillId="0" borderId="84" xfId="0" applyFont="1" applyBorder="1" applyAlignment="1" applyProtection="1">
      <alignment horizontal="left" vertical="top" wrapText="1" readingOrder="1"/>
      <protection locked="0"/>
    </xf>
    <xf numFmtId="0" fontId="7" fillId="0" borderId="10" xfId="0" applyFont="1" applyBorder="1" applyAlignment="1" applyProtection="1">
      <alignment horizontal="center" vertical="top" wrapText="1" readingOrder="1"/>
      <protection locked="0"/>
    </xf>
    <xf numFmtId="0" fontId="7" fillId="0" borderId="77" xfId="0" applyFont="1" applyBorder="1" applyAlignment="1" applyProtection="1">
      <alignment horizontal="center" vertical="top" wrapText="1" readingOrder="1"/>
      <protection locked="0"/>
    </xf>
  </cellXfs>
  <cellStyles count="2">
    <cellStyle name="Įprastas" xfId="0" builtinId="0"/>
    <cellStyle name="Įprastas 2" xfId="1" xr:uid="{05A04C31-A4E7-487A-9230-2A942EFE6212}"/>
  </cellStyles>
  <dxfs count="0"/>
  <tableStyles count="0" defaultTableStyle="TableStyleMedium2" defaultPivotStyle="PivotStyleLight16"/>
  <colors>
    <mruColors>
      <color rgb="FF000000"/>
      <color rgb="FFFFCCCC"/>
      <color rgb="FFC0E4F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a:defRPr sz="1400" b="1" i="0" u="none" strike="noStrike" kern="1200" spc="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r>
              <a:rPr lang="lt-LT" b="1">
                <a:latin typeface="Times New Roman" panose="02020603050405020304" pitchFamily="18" charset="0"/>
                <a:cs typeface="Times New Roman" panose="02020603050405020304" pitchFamily="18" charset="0"/>
              </a:rPr>
              <a:t>0</a:t>
            </a:r>
            <a:r>
              <a:rPr lang="en-US" b="1">
                <a:latin typeface="Times New Roman" panose="02020603050405020304" pitchFamily="18" charset="0"/>
                <a:cs typeface="Times New Roman" panose="02020603050405020304" pitchFamily="18" charset="0"/>
              </a:rPr>
              <a:t>1</a:t>
            </a:r>
            <a:r>
              <a:rPr lang="lt-LT" b="1">
                <a:latin typeface="Times New Roman" panose="02020603050405020304" pitchFamily="18" charset="0"/>
                <a:cs typeface="Times New Roman" panose="02020603050405020304" pitchFamily="18" charset="0"/>
              </a:rPr>
              <a:t> programos vykdymas</a:t>
            </a:r>
            <a:endParaRPr lang="en-US" b="1">
              <a:latin typeface="Times New Roman" panose="02020603050405020304" pitchFamily="18" charset="0"/>
              <a:cs typeface="Times New Roman" panose="02020603050405020304" pitchFamily="18" charset="0"/>
            </a:endParaRPr>
          </a:p>
        </c:rich>
      </c:tx>
      <c:layout>
        <c:manualLayout>
          <c:xMode val="edge"/>
          <c:yMode val="edge"/>
          <c:x val="0.33486259871065305"/>
          <c:y val="2.2352316310111694E-2"/>
        </c:manualLayout>
      </c:layout>
      <c:overlay val="0"/>
      <c:spPr>
        <a:noFill/>
        <a:ln>
          <a:noFill/>
        </a:ln>
        <a:effectLst/>
      </c:spPr>
      <c:txPr>
        <a:bodyPr rot="0" spcFirstLastPara="1" vertOverflow="ellipsis" vert="horz" wrap="square" anchor="ctr" anchorCtr="1"/>
        <a:lstStyle/>
        <a:p>
          <a:pPr algn="ctr">
            <a:defRPr sz="1400" b="1" i="0" u="none" strike="noStrike" kern="1200" spc="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en-US"/>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spPr>
            <a:ln w="31750"/>
            <a:scene3d>
              <a:camera prst="orthographicFront"/>
              <a:lightRig rig="threePt" dir="t"/>
            </a:scene3d>
            <a:sp3d prstMaterial="matte">
              <a:contourClr>
                <a:srgbClr val="000000"/>
              </a:contourClr>
            </a:sp3d>
          </c:spPr>
          <c:explosion val="5"/>
          <c:dPt>
            <c:idx val="0"/>
            <c:bubble3D val="0"/>
            <c:spPr>
              <a:solidFill>
                <a:schemeClr val="accent3">
                  <a:lumMod val="20000"/>
                  <a:lumOff val="80000"/>
                </a:schemeClr>
              </a:solidFill>
              <a:ln w="31750">
                <a:solidFill>
                  <a:schemeClr val="accent3">
                    <a:lumMod val="20000"/>
                    <a:lumOff val="80000"/>
                  </a:schemeClr>
                </a:solidFill>
              </a:ln>
              <a:effectLst/>
              <a:scene3d>
                <a:camera prst="orthographicFront"/>
                <a:lightRig rig="threePt" dir="t"/>
              </a:scene3d>
              <a:sp3d contourW="31750" prstMaterial="matte">
                <a:contourClr>
                  <a:schemeClr val="accent3">
                    <a:lumMod val="20000"/>
                    <a:lumOff val="80000"/>
                  </a:schemeClr>
                </a:contourClr>
              </a:sp3d>
            </c:spPr>
            <c:extLst>
              <c:ext xmlns:c16="http://schemas.microsoft.com/office/drawing/2014/chart" uri="{C3380CC4-5D6E-409C-BE32-E72D297353CC}">
                <c16:uniqueId val="{00000001-726A-4804-B7C8-964CA863993B}"/>
              </c:ext>
            </c:extLst>
          </c:dPt>
          <c:dPt>
            <c:idx val="1"/>
            <c:bubble3D val="0"/>
            <c:spPr>
              <a:solidFill>
                <a:srgbClr val="FFCCCC"/>
              </a:solidFill>
              <a:ln w="31750">
                <a:solidFill>
                  <a:srgbClr val="FFCCCC"/>
                </a:solidFill>
              </a:ln>
              <a:effectLst/>
              <a:scene3d>
                <a:camera prst="orthographicFront"/>
                <a:lightRig rig="threePt" dir="t"/>
              </a:scene3d>
              <a:sp3d contourW="31750" prstMaterial="matte">
                <a:contourClr>
                  <a:srgbClr val="FFCCCC"/>
                </a:contourClr>
              </a:sp3d>
            </c:spPr>
            <c:extLst>
              <c:ext xmlns:c16="http://schemas.microsoft.com/office/drawing/2014/chart" uri="{C3380CC4-5D6E-409C-BE32-E72D297353CC}">
                <c16:uniqueId val="{00000002-726A-4804-B7C8-964CA863993B}"/>
              </c:ext>
            </c:extLst>
          </c:dPt>
          <c:dPt>
            <c:idx val="2"/>
            <c:bubble3D val="0"/>
            <c:spPr>
              <a:solidFill>
                <a:srgbClr val="FFC000"/>
              </a:solidFill>
              <a:ln w="31750">
                <a:solidFill>
                  <a:srgbClr val="FFC000"/>
                </a:solidFill>
              </a:ln>
              <a:effectLst/>
              <a:scene3d>
                <a:camera prst="orthographicFront"/>
                <a:lightRig rig="threePt" dir="t"/>
              </a:scene3d>
              <a:sp3d contourW="31750" prstMaterial="matte">
                <a:contourClr>
                  <a:srgbClr val="FFC000"/>
                </a:contourClr>
              </a:sp3d>
            </c:spPr>
            <c:extLst>
              <c:ext xmlns:c16="http://schemas.microsoft.com/office/drawing/2014/chart" uri="{C3380CC4-5D6E-409C-BE32-E72D297353CC}">
                <c16:uniqueId val="{00000003-726A-4804-B7C8-964CA863993B}"/>
              </c:ext>
            </c:extLst>
          </c:dPt>
          <c:dPt>
            <c:idx val="3"/>
            <c:bubble3D val="0"/>
            <c:spPr>
              <a:solidFill>
                <a:schemeClr val="bg1">
                  <a:lumMod val="85000"/>
                </a:schemeClr>
              </a:solidFill>
              <a:ln w="31750">
                <a:solidFill>
                  <a:schemeClr val="bg1">
                    <a:lumMod val="85000"/>
                  </a:schemeClr>
                </a:solidFill>
              </a:ln>
              <a:effectLst/>
              <a:scene3d>
                <a:camera prst="orthographicFront"/>
                <a:lightRig rig="threePt" dir="t"/>
              </a:scene3d>
              <a:sp3d contourW="31750" prstMaterial="matte">
                <a:contourClr>
                  <a:schemeClr val="bg1">
                    <a:lumMod val="85000"/>
                  </a:schemeClr>
                </a:contourClr>
              </a:sp3d>
            </c:spPr>
            <c:extLst>
              <c:ext xmlns:c16="http://schemas.microsoft.com/office/drawing/2014/chart" uri="{C3380CC4-5D6E-409C-BE32-E72D297353CC}">
                <c16:uniqueId val="{00000004-726A-4804-B7C8-964CA863993B}"/>
              </c:ext>
            </c:extLst>
          </c:dPt>
          <c:dPt>
            <c:idx val="4"/>
            <c:bubble3D val="0"/>
            <c:spPr>
              <a:solidFill>
                <a:schemeClr val="accent6">
                  <a:lumMod val="20000"/>
                  <a:lumOff val="80000"/>
                </a:schemeClr>
              </a:solidFill>
              <a:ln w="31750">
                <a:solidFill>
                  <a:schemeClr val="accent6">
                    <a:lumMod val="20000"/>
                    <a:lumOff val="80000"/>
                  </a:schemeClr>
                </a:solidFill>
              </a:ln>
              <a:effectLst/>
              <a:scene3d>
                <a:camera prst="orthographicFront"/>
                <a:lightRig rig="threePt" dir="t"/>
              </a:scene3d>
              <a:sp3d contourW="31750" prstMaterial="matte">
                <a:contourClr>
                  <a:schemeClr val="accent6">
                    <a:lumMod val="20000"/>
                    <a:lumOff val="80000"/>
                  </a:schemeClr>
                </a:contourClr>
              </a:sp3d>
            </c:spPr>
            <c:extLst>
              <c:ext xmlns:c16="http://schemas.microsoft.com/office/drawing/2014/chart" uri="{C3380CC4-5D6E-409C-BE32-E72D297353CC}">
                <c16:uniqueId val="{00000005-726A-4804-B7C8-964CA863993B}"/>
              </c:ext>
            </c:extLst>
          </c:dPt>
          <c:dLbls>
            <c:spPr>
              <a:noFill/>
              <a:ln>
                <a:noFill/>
              </a:ln>
              <a:effectLst/>
            </c:spPr>
            <c:txPr>
              <a:bodyPr rot="0" spcFirstLastPara="1" vertOverflow="ellipsis" vert="horz" wrap="square" lIns="38100" tIns="19050" rIns="38100" bIns="19050" anchor="ctr" anchorCtr="0">
                <a:spAutoFit/>
              </a:bodyPr>
              <a:lstStyle/>
              <a:p>
                <a:pPr>
                  <a:defRPr sz="1200" b="0" i="0" u="none" strike="noStrike" kern="1200" baseline="0">
                    <a:solidFill>
                      <a:schemeClr val="tx1">
                        <a:lumMod val="75000"/>
                        <a:lumOff val="25000"/>
                      </a:schemeClr>
                    </a:solidFill>
                    <a:latin typeface="+mn-lt"/>
                    <a:ea typeface="+mn-ea"/>
                    <a:cs typeface="+mn-cs"/>
                  </a:defRPr>
                </a:pPr>
                <a:endParaRPr lang="lt-LT"/>
              </a:p>
            </c:txPr>
            <c:dLblPos val="inEnd"/>
            <c:showLegendKey val="0"/>
            <c:showVal val="1"/>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Planas!$V$10:$V$14</c:f>
              <c:strCache>
                <c:ptCount val="5"/>
                <c:pt idx="0">
                  <c:v>Priemonė buvo įvykdyta pagal planą</c:v>
                </c:pt>
                <c:pt idx="1">
                  <c:v>Vykdant priemonę buvo pasiekta vertinimo kriterijų reikšmių mažiau nei 50 %</c:v>
                </c:pt>
                <c:pt idx="2">
                  <c:v>Vykdant priemonę buvo pasiekta vertinimo kriterijų reikšmių 50 % ir daugiau</c:v>
                </c:pt>
                <c:pt idx="3">
                  <c:v>Vykdant priemonę buvo pasiekta daugiau vertinimo kriterijų reikšmių nei planuota</c:v>
                </c:pt>
                <c:pt idx="4">
                  <c:v>Priemonė neįvykdyta, t.y. nepasiekta planuota vertinimo kriterijų reikšmė</c:v>
                </c:pt>
              </c:strCache>
            </c:strRef>
          </c:cat>
          <c:val>
            <c:numRef>
              <c:f>Planas!$W$10:$W$14</c:f>
              <c:numCache>
                <c:formatCode>General</c:formatCode>
                <c:ptCount val="5"/>
                <c:pt idx="0">
                  <c:v>1</c:v>
                </c:pt>
                <c:pt idx="1">
                  <c:v>1</c:v>
                </c:pt>
                <c:pt idx="2">
                  <c:v>4</c:v>
                </c:pt>
                <c:pt idx="3">
                  <c:v>1</c:v>
                </c:pt>
                <c:pt idx="4">
                  <c:v>4</c:v>
                </c:pt>
              </c:numCache>
            </c:numRef>
          </c:val>
          <c:extLst>
            <c:ext xmlns:c16="http://schemas.microsoft.com/office/drawing/2014/chart" uri="{C3380CC4-5D6E-409C-BE32-E72D297353CC}">
              <c16:uniqueId val="{00000000-726A-4804-B7C8-964CA863993B}"/>
            </c:ext>
          </c:extLst>
        </c:ser>
        <c:dLbls>
          <c:dLblPos val="bestFit"/>
          <c:showLegendKey val="0"/>
          <c:showVal val="1"/>
          <c:showCatName val="0"/>
          <c:showSerName val="0"/>
          <c:showPercent val="0"/>
          <c:showBubbleSize val="0"/>
          <c:showLeaderLines val="1"/>
        </c:dLbls>
      </c:pie3DChart>
      <c:spPr>
        <a:solidFill>
          <a:schemeClr val="bg1">
            <a:lumMod val="95000"/>
          </a:schemeClr>
        </a:solidFill>
        <a:ln>
          <a:noFill/>
        </a:ln>
        <a:effectLst/>
      </c:spPr>
    </c:plotArea>
    <c:legend>
      <c:legendPos val="b"/>
      <c:layout>
        <c:manualLayout>
          <c:xMode val="edge"/>
          <c:yMode val="edge"/>
          <c:x val="2.256379873216996E-2"/>
          <c:y val="0.75093203096705152"/>
          <c:w val="0.95487225100822581"/>
          <c:h val="0.23416642482620731"/>
        </c:manualLayout>
      </c:layout>
      <c:overlay val="0"/>
      <c:spPr>
        <a:solidFill>
          <a:schemeClr val="bg1">
            <a:lumMod val="95000"/>
          </a:schemeClr>
        </a:solidFill>
        <a:ln>
          <a:gradFill flip="none" rotWithShape="1">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tileRect/>
          </a:gradFill>
        </a:ln>
        <a:effectLst/>
      </c:spPr>
      <c:txPr>
        <a:bodyPr rot="0" spcFirstLastPara="1" vertOverflow="ellipsis" vert="horz" wrap="square" anchor="ctr" anchorCtr="1"/>
        <a:lstStyle/>
        <a:p>
          <a:pPr>
            <a:defRPr sz="1200" b="0" i="0" u="none" strike="noStrike" kern="1200" baseline="0">
              <a:ln>
                <a:noFill/>
              </a:ln>
              <a:solidFill>
                <a:schemeClr val="tx1"/>
              </a:solidFill>
              <a:latin typeface="Times New Roman" panose="02020603050405020304" pitchFamily="18" charset="0"/>
              <a:ea typeface="+mn-ea"/>
              <a:cs typeface="Times New Roman" panose="02020603050405020304" pitchFamily="18" charset="0"/>
            </a:defRPr>
          </a:pPr>
          <a:endParaRPr lang="lt-LT"/>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lumMod val="85000"/>
      </a:schemeClr>
    </a:solidFill>
    <a:ln w="9525" cap="flat" cmpd="sng" algn="ctr">
      <a:solidFill>
        <a:schemeClr val="tx1">
          <a:lumMod val="15000"/>
          <a:lumOff val="85000"/>
        </a:schemeClr>
      </a:solidFill>
      <a:round/>
    </a:ln>
    <a:effectLst>
      <a:softEdge rad="0"/>
    </a:effectLst>
  </c:spPr>
  <c:txPr>
    <a:bodyPr/>
    <a:lstStyle/>
    <a:p>
      <a:pPr>
        <a:defRPr/>
      </a:pPr>
      <a:endParaRPr lang="lt-LT"/>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1" i="0" u="none" strike="noStrike" kern="1200" spc="0" baseline="0">
                <a:solidFill>
                  <a:schemeClr val="tx1"/>
                </a:solidFill>
                <a:latin typeface="Times New Roman" panose="02020603050405020304" pitchFamily="18" charset="0"/>
                <a:ea typeface="+mn-ea"/>
                <a:cs typeface="Times New Roman" panose="02020603050405020304" pitchFamily="18" charset="0"/>
              </a:defRPr>
            </a:pPr>
            <a:r>
              <a:rPr lang="lt-LT" b="1"/>
              <a:t>2024 m. 05 programos vykdymo palyginimas su 2023 m.</a:t>
            </a:r>
          </a:p>
        </c:rich>
      </c:tx>
      <c:overlay val="0"/>
      <c:spPr>
        <a:noFill/>
        <a:ln>
          <a:noFill/>
        </a:ln>
        <a:effectLst/>
      </c:spPr>
      <c:txPr>
        <a:bodyPr rot="0" spcFirstLastPara="1" vertOverflow="ellipsis" vert="horz" wrap="square" anchor="ctr" anchorCtr="1"/>
        <a:lstStyle/>
        <a:p>
          <a:pPr>
            <a:defRPr sz="1440" b="1" i="0" u="none" strike="noStrike" kern="1200" spc="0" baseline="0">
              <a:solidFill>
                <a:schemeClr val="tx1"/>
              </a:solidFill>
              <a:latin typeface="Times New Roman" panose="02020603050405020304" pitchFamily="18" charset="0"/>
              <a:ea typeface="+mn-ea"/>
              <a:cs typeface="Times New Roman" panose="02020603050405020304" pitchFamily="18" charset="0"/>
            </a:defRPr>
          </a:pPr>
          <a:endParaRPr lang="lt-LT"/>
        </a:p>
      </c:txPr>
    </c:title>
    <c:autoTitleDeleted val="0"/>
    <c:plotArea>
      <c:layout>
        <c:manualLayout>
          <c:layoutTarget val="inner"/>
          <c:xMode val="edge"/>
          <c:yMode val="edge"/>
          <c:x val="9.2114197530864195E-2"/>
          <c:y val="0.10936134259259259"/>
          <c:w val="0.81829984567901248"/>
          <c:h val="0.48786805555555546"/>
        </c:manualLayout>
      </c:layout>
      <c:barChart>
        <c:barDir val="col"/>
        <c:grouping val="clustered"/>
        <c:varyColors val="0"/>
        <c:ser>
          <c:idx val="0"/>
          <c:order val="0"/>
          <c:tx>
            <c:strRef>
              <c:f>'[1]2024 m'!$B$47</c:f>
              <c:strCache>
                <c:ptCount val="1"/>
                <c:pt idx="0">
                  <c:v>Priemonė buvo įvykdyta pagal planą</c:v>
                </c:pt>
              </c:strCache>
            </c:strRef>
          </c:tx>
          <c:spPr>
            <a:solidFill>
              <a:srgbClr val="E2EFDA"/>
            </a:solidFill>
            <a:ln>
              <a:noFill/>
            </a:ln>
            <a:effectLst/>
            <a:scene3d>
              <a:camera prst="orthographicFront"/>
              <a:lightRig rig="threePt" dir="t"/>
            </a:scene3d>
            <a:sp3d>
              <a:bevelT/>
            </a:sp3d>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lt-LT"/>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'[1]2024 m'!$C$46:$D$46</c:f>
              <c:numCache>
                <c:formatCode>General</c:formatCode>
                <c:ptCount val="2"/>
                <c:pt idx="0">
                  <c:v>2023</c:v>
                </c:pt>
                <c:pt idx="1">
                  <c:v>2024</c:v>
                </c:pt>
              </c:numCache>
            </c:numRef>
          </c:cat>
          <c:val>
            <c:numRef>
              <c:f>'[1]2024 m'!$C$47:$D$47</c:f>
              <c:numCache>
                <c:formatCode>General</c:formatCode>
                <c:ptCount val="2"/>
                <c:pt idx="0">
                  <c:v>3</c:v>
                </c:pt>
                <c:pt idx="1">
                  <c:v>3</c:v>
                </c:pt>
              </c:numCache>
            </c:numRef>
          </c:val>
          <c:extLst>
            <c:ext xmlns:c16="http://schemas.microsoft.com/office/drawing/2014/chart" uri="{C3380CC4-5D6E-409C-BE32-E72D297353CC}">
              <c16:uniqueId val="{00000000-AF48-4BFB-8BCA-4BF8592781A2}"/>
            </c:ext>
          </c:extLst>
        </c:ser>
        <c:ser>
          <c:idx val="1"/>
          <c:order val="1"/>
          <c:tx>
            <c:strRef>
              <c:f>'[1]2024 m'!$B$48</c:f>
              <c:strCache>
                <c:ptCount val="1"/>
                <c:pt idx="0">
                  <c:v>Vykdant priemonę buvo pasiekta vertinimo kriterijų reikšmių mažiau nei 50 %</c:v>
                </c:pt>
              </c:strCache>
            </c:strRef>
          </c:tx>
          <c:spPr>
            <a:solidFill>
              <a:srgbClr val="FFCCCC"/>
            </a:solidFill>
            <a:ln>
              <a:noFill/>
            </a:ln>
            <a:effectLst/>
            <a:scene3d>
              <a:camera prst="orthographicFront"/>
              <a:lightRig rig="threePt" dir="t"/>
            </a:scene3d>
            <a:sp3d>
              <a:bevelT/>
            </a:sp3d>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lt-LT"/>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'[1]2024 m'!$C$46:$D$46</c:f>
              <c:numCache>
                <c:formatCode>General</c:formatCode>
                <c:ptCount val="2"/>
                <c:pt idx="0">
                  <c:v>2023</c:v>
                </c:pt>
                <c:pt idx="1">
                  <c:v>2024</c:v>
                </c:pt>
              </c:numCache>
            </c:numRef>
          </c:cat>
          <c:val>
            <c:numRef>
              <c:f>'[1]2024 m'!$C$48:$D$48</c:f>
              <c:numCache>
                <c:formatCode>General</c:formatCode>
                <c:ptCount val="2"/>
                <c:pt idx="0">
                  <c:v>1</c:v>
                </c:pt>
                <c:pt idx="1">
                  <c:v>2</c:v>
                </c:pt>
              </c:numCache>
            </c:numRef>
          </c:val>
          <c:extLst>
            <c:ext xmlns:c16="http://schemas.microsoft.com/office/drawing/2014/chart" uri="{C3380CC4-5D6E-409C-BE32-E72D297353CC}">
              <c16:uniqueId val="{00000001-AF48-4BFB-8BCA-4BF8592781A2}"/>
            </c:ext>
          </c:extLst>
        </c:ser>
        <c:ser>
          <c:idx val="2"/>
          <c:order val="2"/>
          <c:tx>
            <c:strRef>
              <c:f>'[1]2024 m'!$B$49</c:f>
              <c:strCache>
                <c:ptCount val="1"/>
                <c:pt idx="0">
                  <c:v>Vykdant priemonę buvo pasiekta vertinimo kriterijų reikšmių 50 % ir daugiau</c:v>
                </c:pt>
              </c:strCache>
            </c:strRef>
          </c:tx>
          <c:spPr>
            <a:solidFill>
              <a:srgbClr val="FFC000"/>
            </a:solidFill>
            <a:ln>
              <a:noFill/>
            </a:ln>
            <a:effectLst/>
            <a:scene3d>
              <a:camera prst="orthographicFront"/>
              <a:lightRig rig="threePt" dir="t"/>
            </a:scene3d>
            <a:sp3d>
              <a:bevelT/>
            </a:sp3d>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lt-LT"/>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'[1]2024 m'!$C$46:$D$46</c:f>
              <c:numCache>
                <c:formatCode>General</c:formatCode>
                <c:ptCount val="2"/>
                <c:pt idx="0">
                  <c:v>2023</c:v>
                </c:pt>
                <c:pt idx="1">
                  <c:v>2024</c:v>
                </c:pt>
              </c:numCache>
            </c:numRef>
          </c:cat>
          <c:val>
            <c:numRef>
              <c:f>'[1]2024 m'!$C$49:$D$49</c:f>
              <c:numCache>
                <c:formatCode>General</c:formatCode>
                <c:ptCount val="2"/>
                <c:pt idx="0">
                  <c:v>3</c:v>
                </c:pt>
                <c:pt idx="1">
                  <c:v>2</c:v>
                </c:pt>
              </c:numCache>
            </c:numRef>
          </c:val>
          <c:extLst>
            <c:ext xmlns:c16="http://schemas.microsoft.com/office/drawing/2014/chart" uri="{C3380CC4-5D6E-409C-BE32-E72D297353CC}">
              <c16:uniqueId val="{00000002-AF48-4BFB-8BCA-4BF8592781A2}"/>
            </c:ext>
          </c:extLst>
        </c:ser>
        <c:ser>
          <c:idx val="3"/>
          <c:order val="3"/>
          <c:tx>
            <c:strRef>
              <c:f>'[1]2024 m'!$B$50</c:f>
              <c:strCache>
                <c:ptCount val="1"/>
                <c:pt idx="0">
                  <c:v>Vykdant priemonę buvo pasiekta daugiau vertinimo kriterijų reikšmių nei planuota</c:v>
                </c:pt>
              </c:strCache>
            </c:strRef>
          </c:tx>
          <c:spPr>
            <a:solidFill>
              <a:schemeClr val="bg1">
                <a:lumMod val="85000"/>
              </a:schemeClr>
            </a:solidFill>
            <a:ln>
              <a:solidFill>
                <a:schemeClr val="bg1">
                  <a:lumMod val="85000"/>
                </a:schemeClr>
              </a:solidFill>
            </a:ln>
            <a:effectLst/>
            <a:scene3d>
              <a:camera prst="orthographicFront"/>
              <a:lightRig rig="threePt" dir="t"/>
            </a:scene3d>
            <a:sp3d>
              <a:bevelT/>
            </a:sp3d>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lt-LT"/>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'[1]2024 m'!$C$46:$D$46</c:f>
              <c:numCache>
                <c:formatCode>General</c:formatCode>
                <c:ptCount val="2"/>
                <c:pt idx="0">
                  <c:v>2023</c:v>
                </c:pt>
                <c:pt idx="1">
                  <c:v>2024</c:v>
                </c:pt>
              </c:numCache>
            </c:numRef>
          </c:cat>
          <c:val>
            <c:numRef>
              <c:f>'[1]2024 m'!$C$50:$D$50</c:f>
              <c:numCache>
                <c:formatCode>General</c:formatCode>
                <c:ptCount val="2"/>
                <c:pt idx="0">
                  <c:v>2</c:v>
                </c:pt>
                <c:pt idx="1">
                  <c:v>3</c:v>
                </c:pt>
              </c:numCache>
            </c:numRef>
          </c:val>
          <c:extLst>
            <c:ext xmlns:c16="http://schemas.microsoft.com/office/drawing/2014/chart" uri="{C3380CC4-5D6E-409C-BE32-E72D297353CC}">
              <c16:uniqueId val="{00000003-AF48-4BFB-8BCA-4BF8592781A2}"/>
            </c:ext>
          </c:extLst>
        </c:ser>
        <c:ser>
          <c:idx val="4"/>
          <c:order val="4"/>
          <c:tx>
            <c:strRef>
              <c:f>'[1]2024 m'!$B$51</c:f>
              <c:strCache>
                <c:ptCount val="1"/>
                <c:pt idx="0">
                  <c:v>Priemonė neįvykdyta, t.y. nepasiekta planuota vertinimo kriterijų reikšmė</c:v>
                </c:pt>
              </c:strCache>
            </c:strRef>
          </c:tx>
          <c:spPr>
            <a:solidFill>
              <a:srgbClr val="FCE4D6"/>
            </a:solidFill>
            <a:ln>
              <a:noFill/>
            </a:ln>
            <a:effectLst/>
            <a:scene3d>
              <a:camera prst="orthographicFront"/>
              <a:lightRig rig="threePt" dir="t"/>
            </a:scene3d>
            <a:sp3d>
              <a:bevelT/>
            </a:sp3d>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lt-LT"/>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'[1]2024 m'!$C$46:$D$46</c:f>
              <c:numCache>
                <c:formatCode>General</c:formatCode>
                <c:ptCount val="2"/>
                <c:pt idx="0">
                  <c:v>2023</c:v>
                </c:pt>
                <c:pt idx="1">
                  <c:v>2024</c:v>
                </c:pt>
              </c:numCache>
            </c:numRef>
          </c:cat>
          <c:val>
            <c:numRef>
              <c:f>'[1]2024 m'!$C$51:$D$51</c:f>
              <c:numCache>
                <c:formatCode>General</c:formatCode>
                <c:ptCount val="2"/>
                <c:pt idx="0">
                  <c:v>0</c:v>
                </c:pt>
                <c:pt idx="1">
                  <c:v>0</c:v>
                </c:pt>
              </c:numCache>
            </c:numRef>
          </c:val>
          <c:extLst>
            <c:ext xmlns:c16="http://schemas.microsoft.com/office/drawing/2014/chart" uri="{C3380CC4-5D6E-409C-BE32-E72D297353CC}">
              <c16:uniqueId val="{00000004-AF48-4BFB-8BCA-4BF8592781A2}"/>
            </c:ext>
          </c:extLst>
        </c:ser>
        <c:dLbls>
          <c:showLegendKey val="0"/>
          <c:showVal val="1"/>
          <c:showCatName val="0"/>
          <c:showSerName val="0"/>
          <c:showPercent val="0"/>
          <c:showBubbleSize val="0"/>
        </c:dLbls>
        <c:gapWidth val="150"/>
        <c:axId val="1495728303"/>
        <c:axId val="1495744527"/>
      </c:barChart>
      <c:lineChart>
        <c:grouping val="standard"/>
        <c:varyColors val="0"/>
        <c:ser>
          <c:idx val="5"/>
          <c:order val="5"/>
          <c:tx>
            <c:strRef>
              <c:f>'[1]2024 m'!$B$52</c:f>
              <c:strCache>
                <c:ptCount val="1"/>
                <c:pt idx="0">
                  <c:v>Iš viso programų priemonių</c:v>
                </c:pt>
              </c:strCache>
            </c:strRef>
          </c:tx>
          <c:spPr>
            <a:ln w="28575" cap="rnd">
              <a:solidFill>
                <a:srgbClr val="FFC000"/>
              </a:solidFill>
              <a:round/>
            </a:ln>
            <a:effectLst/>
          </c:spPr>
          <c:marker>
            <c:symbol val="circle"/>
            <c:size val="7"/>
            <c:spPr>
              <a:solidFill>
                <a:schemeClr val="accent4">
                  <a:lumMod val="60000"/>
                  <a:lumOff val="40000"/>
                </a:schemeClr>
              </a:solidFill>
              <a:ln w="9525">
                <a:solidFill>
                  <a:schemeClr val="accent4"/>
                </a:solidFill>
              </a:ln>
              <a:effectLst/>
              <a:scene3d>
                <a:camera prst="orthographicFront"/>
                <a:lightRig rig="threePt" dir="t"/>
              </a:scene3d>
              <a:sp3d>
                <a:bevelT/>
              </a:sp3d>
            </c:spPr>
          </c:marker>
          <c:dLbls>
            <c:dLbl>
              <c:idx val="0"/>
              <c:layout>
                <c:manualLayout>
                  <c:x val="-3.1358029530560147E-2"/>
                  <c:y val="-4.493183495687919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AF48-4BFB-8BCA-4BF8592781A2}"/>
                </c:ext>
              </c:extLst>
            </c:dLbl>
            <c:dLbl>
              <c:idx val="1"/>
              <c:layout>
                <c:manualLayout>
                  <c:x val="-2.7438275839240099E-2"/>
                  <c:y val="-3.089063653285441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AF48-4BFB-8BCA-4BF8592781A2}"/>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lt-LT"/>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'[1]2024 m'!$C$46:$D$46</c:f>
              <c:numCache>
                <c:formatCode>General</c:formatCode>
                <c:ptCount val="2"/>
                <c:pt idx="0">
                  <c:v>2023</c:v>
                </c:pt>
                <c:pt idx="1">
                  <c:v>2024</c:v>
                </c:pt>
              </c:numCache>
            </c:numRef>
          </c:cat>
          <c:val>
            <c:numRef>
              <c:f>'[1]2024 m'!$C$52:$D$52</c:f>
              <c:numCache>
                <c:formatCode>General</c:formatCode>
                <c:ptCount val="2"/>
                <c:pt idx="0">
                  <c:v>9</c:v>
                </c:pt>
                <c:pt idx="1">
                  <c:v>10</c:v>
                </c:pt>
              </c:numCache>
            </c:numRef>
          </c:val>
          <c:smooth val="0"/>
          <c:extLst>
            <c:ext xmlns:c16="http://schemas.microsoft.com/office/drawing/2014/chart" uri="{C3380CC4-5D6E-409C-BE32-E72D297353CC}">
              <c16:uniqueId val="{00000007-AF48-4BFB-8BCA-4BF8592781A2}"/>
            </c:ext>
          </c:extLst>
        </c:ser>
        <c:dLbls>
          <c:showLegendKey val="0"/>
          <c:showVal val="1"/>
          <c:showCatName val="0"/>
          <c:showSerName val="0"/>
          <c:showPercent val="0"/>
          <c:showBubbleSize val="0"/>
        </c:dLbls>
        <c:marker val="1"/>
        <c:smooth val="0"/>
        <c:axId val="1632945087"/>
        <c:axId val="1632942591"/>
      </c:lineChart>
      <c:catAx>
        <c:axId val="1495728303"/>
        <c:scaling>
          <c:orientation val="minMax"/>
        </c:scaling>
        <c:delete val="0"/>
        <c:axPos val="b"/>
        <c:title>
          <c:tx>
            <c:rich>
              <a:bodyPr rot="0" spcFirstLastPara="1" vertOverflow="ellipsis" vert="horz" wrap="square" anchor="ctr" anchorCtr="1"/>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r>
                  <a:rPr lang="lt-LT"/>
                  <a:t>Metai</a:t>
                </a:r>
              </a:p>
            </c:rich>
          </c:tx>
          <c:layout>
            <c:manualLayout>
              <c:xMode val="edge"/>
              <c:yMode val="edge"/>
              <c:x val="0.48600648148148146"/>
              <c:y val="0.63521180555555556"/>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lt-LT"/>
            </a:p>
          </c:txPr>
        </c:title>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lt-LT"/>
          </a:p>
        </c:txPr>
        <c:crossAx val="1495744527"/>
        <c:crosses val="autoZero"/>
        <c:auto val="1"/>
        <c:lblAlgn val="ctr"/>
        <c:lblOffset val="100"/>
        <c:noMultiLvlLbl val="0"/>
      </c:catAx>
      <c:valAx>
        <c:axId val="1495744527"/>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r>
                  <a:rPr lang="lt-LT" sz="1200"/>
                  <a:t>Progamų priemonių skaičius</a:t>
                </a:r>
              </a:p>
            </c:rich>
          </c:tx>
          <c:layout>
            <c:manualLayout>
              <c:xMode val="edge"/>
              <c:yMode val="edge"/>
              <c:x val="1.0191358024691358E-2"/>
              <c:y val="0.15776712661357695"/>
            </c:manualLayout>
          </c:layout>
          <c:overlay val="0"/>
          <c:spPr>
            <a:noFill/>
            <a:ln>
              <a:noFill/>
            </a:ln>
            <a:effectLst/>
          </c:spPr>
          <c:txPr>
            <a:bodyPr rot="-5400000" spcFirstLastPara="1" vertOverflow="ellipsis" vert="horz" wrap="square" anchor="ctr" anchorCtr="1"/>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lt-LT"/>
            </a:p>
          </c:txPr>
        </c:title>
        <c:numFmt formatCode="General"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lt-LT"/>
          </a:p>
        </c:txPr>
        <c:crossAx val="1495728303"/>
        <c:crosses val="autoZero"/>
        <c:crossBetween val="between"/>
      </c:valAx>
      <c:valAx>
        <c:axId val="1632942591"/>
        <c:scaling>
          <c:orientation val="minMax"/>
        </c:scaling>
        <c:delete val="0"/>
        <c:axPos val="r"/>
        <c:title>
          <c:tx>
            <c:rich>
              <a:bodyPr rot="-5400000" spcFirstLastPara="1" vertOverflow="ellipsis" vert="horz" wrap="square" anchor="ctr" anchorCtr="1"/>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r>
                  <a:rPr lang="lt-LT"/>
                  <a:t>Programų</a:t>
                </a:r>
                <a:r>
                  <a:rPr lang="lt-LT" baseline="0"/>
                  <a:t> priemonių skaičius</a:t>
                </a:r>
                <a:endParaRPr lang="lt-LT"/>
              </a:p>
            </c:rich>
          </c:tx>
          <c:overlay val="0"/>
          <c:spPr>
            <a:noFill/>
            <a:ln>
              <a:noFill/>
            </a:ln>
            <a:effectLst/>
          </c:spPr>
          <c:txPr>
            <a:bodyPr rot="-5400000" spcFirstLastPara="1" vertOverflow="ellipsis" vert="horz" wrap="square" anchor="ctr" anchorCtr="1"/>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lt-LT"/>
            </a:p>
          </c:txPr>
        </c:title>
        <c:numFmt formatCode="General"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lt-LT"/>
          </a:p>
        </c:txPr>
        <c:crossAx val="1632945087"/>
        <c:crosses val="max"/>
        <c:crossBetween val="between"/>
      </c:valAx>
      <c:catAx>
        <c:axId val="1632945087"/>
        <c:scaling>
          <c:orientation val="minMax"/>
        </c:scaling>
        <c:delete val="1"/>
        <c:axPos val="b"/>
        <c:numFmt formatCode="General" sourceLinked="1"/>
        <c:majorTickMark val="out"/>
        <c:minorTickMark val="none"/>
        <c:tickLblPos val="nextTo"/>
        <c:crossAx val="1632942591"/>
        <c:crosses val="autoZero"/>
        <c:auto val="1"/>
        <c:lblAlgn val="ctr"/>
        <c:lblOffset val="100"/>
        <c:noMultiLvlLbl val="0"/>
      </c:catAx>
      <c:spPr>
        <a:solidFill>
          <a:schemeClr val="bg1">
            <a:lumMod val="95000"/>
          </a:schemeClr>
        </a:solidFill>
        <a:ln>
          <a:noFill/>
        </a:ln>
        <a:effectLst/>
      </c:spPr>
    </c:plotArea>
    <c:legend>
      <c:legendPos val="b"/>
      <c:layout>
        <c:manualLayout>
          <c:xMode val="edge"/>
          <c:yMode val="edge"/>
          <c:x val="4.7813278983530709E-2"/>
          <c:y val="0.69035862768623613"/>
          <c:w val="0.92355570987654323"/>
          <c:h val="0.29560017388973925"/>
        </c:manualLayout>
      </c:layout>
      <c:overlay val="0"/>
      <c:spPr>
        <a:solidFill>
          <a:schemeClr val="bg1">
            <a:lumMod val="95000"/>
          </a:schemeClr>
        </a:solidFill>
        <a:ln>
          <a:noFill/>
        </a:ln>
        <a:effectLst/>
      </c:spPr>
      <c:txPr>
        <a:bodyPr rot="0" spcFirstLastPara="1" vertOverflow="ellipsis" vert="horz" wrap="square" anchor="ctr" anchorCtr="1"/>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lt-LT"/>
        </a:p>
      </c:txPr>
    </c:legend>
    <c:plotVisOnly val="1"/>
    <c:dispBlanksAs val="gap"/>
    <c:showDLblsOverMax val="0"/>
  </c:chart>
  <c:spPr>
    <a:solidFill>
      <a:schemeClr val="bg1">
        <a:lumMod val="85000"/>
      </a:schemeClr>
    </a:solidFill>
    <a:ln w="9525" cap="flat" cmpd="sng" algn="ctr">
      <a:solidFill>
        <a:schemeClr val="tx1">
          <a:lumMod val="15000"/>
          <a:lumOff val="85000"/>
        </a:schemeClr>
      </a:solidFill>
      <a:round/>
    </a:ln>
    <a:effectLst/>
  </c:spPr>
  <c:txPr>
    <a:bodyPr/>
    <a:lstStyle/>
    <a:p>
      <a:pPr>
        <a:defRPr sz="1200">
          <a:solidFill>
            <a:schemeClr val="tx1"/>
          </a:solidFill>
          <a:latin typeface="Times New Roman" panose="02020603050405020304" pitchFamily="18" charset="0"/>
          <a:cs typeface="Times New Roman" panose="02020603050405020304" pitchFamily="18" charset="0"/>
        </a:defRPr>
      </a:pPr>
      <a:endParaRPr lang="lt-LT"/>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a:defRPr sz="1400" b="1" i="0" u="none" strike="noStrike" kern="1200" spc="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r>
              <a:rPr lang="lt-LT" b="1">
                <a:latin typeface="Times New Roman" panose="02020603050405020304" pitchFamily="18" charset="0"/>
                <a:cs typeface="Times New Roman" panose="02020603050405020304" pitchFamily="18" charset="0"/>
              </a:rPr>
              <a:t>06 programos vykdymas</a:t>
            </a:r>
            <a:endParaRPr lang="en-US" b="1">
              <a:latin typeface="Times New Roman" panose="02020603050405020304" pitchFamily="18" charset="0"/>
              <a:cs typeface="Times New Roman" panose="02020603050405020304" pitchFamily="18" charset="0"/>
            </a:endParaRPr>
          </a:p>
        </c:rich>
      </c:tx>
      <c:layout>
        <c:manualLayout>
          <c:xMode val="edge"/>
          <c:yMode val="edge"/>
          <c:x val="0.33486259871065305"/>
          <c:y val="2.2352316310111694E-2"/>
        </c:manualLayout>
      </c:layout>
      <c:overlay val="0"/>
      <c:spPr>
        <a:noFill/>
        <a:ln>
          <a:noFill/>
        </a:ln>
        <a:effectLst/>
      </c:spPr>
      <c:txPr>
        <a:bodyPr rot="0" spcFirstLastPara="1" vertOverflow="ellipsis" vert="horz" wrap="square" anchor="ctr" anchorCtr="1"/>
        <a:lstStyle/>
        <a:p>
          <a:pPr algn="ctr">
            <a:defRPr sz="1400" b="1" i="0" u="none" strike="noStrike" kern="1200" spc="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en-US"/>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spPr>
            <a:ln w="31750"/>
            <a:scene3d>
              <a:camera prst="orthographicFront"/>
              <a:lightRig rig="threePt" dir="t"/>
            </a:scene3d>
            <a:sp3d prstMaterial="matte">
              <a:contourClr>
                <a:srgbClr val="000000"/>
              </a:contourClr>
            </a:sp3d>
          </c:spPr>
          <c:explosion val="5"/>
          <c:dPt>
            <c:idx val="0"/>
            <c:bubble3D val="0"/>
            <c:explosion val="2"/>
            <c:spPr>
              <a:solidFill>
                <a:schemeClr val="accent3">
                  <a:lumMod val="20000"/>
                  <a:lumOff val="80000"/>
                </a:schemeClr>
              </a:solidFill>
              <a:ln w="31750">
                <a:solidFill>
                  <a:schemeClr val="accent3">
                    <a:lumMod val="20000"/>
                    <a:lumOff val="80000"/>
                  </a:schemeClr>
                </a:solidFill>
              </a:ln>
              <a:effectLst/>
              <a:scene3d>
                <a:camera prst="orthographicFront"/>
                <a:lightRig rig="threePt" dir="t"/>
              </a:scene3d>
              <a:sp3d contourW="31750" prstMaterial="matte">
                <a:contourClr>
                  <a:schemeClr val="accent3">
                    <a:lumMod val="20000"/>
                    <a:lumOff val="80000"/>
                  </a:schemeClr>
                </a:contourClr>
              </a:sp3d>
            </c:spPr>
            <c:extLst>
              <c:ext xmlns:c16="http://schemas.microsoft.com/office/drawing/2014/chart" uri="{C3380CC4-5D6E-409C-BE32-E72D297353CC}">
                <c16:uniqueId val="{00000001-617E-4390-9EA4-9A0E3CC973BC}"/>
              </c:ext>
            </c:extLst>
          </c:dPt>
          <c:dPt>
            <c:idx val="1"/>
            <c:bubble3D val="0"/>
            <c:spPr>
              <a:solidFill>
                <a:srgbClr val="FFCCCC"/>
              </a:solidFill>
              <a:ln w="31750">
                <a:solidFill>
                  <a:srgbClr val="FFCCCC"/>
                </a:solidFill>
              </a:ln>
              <a:effectLst/>
              <a:scene3d>
                <a:camera prst="orthographicFront"/>
                <a:lightRig rig="threePt" dir="t"/>
              </a:scene3d>
              <a:sp3d contourW="31750" prstMaterial="matte">
                <a:contourClr>
                  <a:srgbClr val="FFCCCC"/>
                </a:contourClr>
              </a:sp3d>
            </c:spPr>
            <c:extLst>
              <c:ext xmlns:c16="http://schemas.microsoft.com/office/drawing/2014/chart" uri="{C3380CC4-5D6E-409C-BE32-E72D297353CC}">
                <c16:uniqueId val="{00000003-617E-4390-9EA4-9A0E3CC973BC}"/>
              </c:ext>
            </c:extLst>
          </c:dPt>
          <c:dPt>
            <c:idx val="2"/>
            <c:bubble3D val="0"/>
            <c:spPr>
              <a:solidFill>
                <a:srgbClr val="FFC000"/>
              </a:solidFill>
              <a:ln w="31750">
                <a:solidFill>
                  <a:srgbClr val="FFC000"/>
                </a:solidFill>
              </a:ln>
              <a:effectLst/>
              <a:scene3d>
                <a:camera prst="orthographicFront"/>
                <a:lightRig rig="threePt" dir="t"/>
              </a:scene3d>
              <a:sp3d contourW="31750" prstMaterial="matte">
                <a:contourClr>
                  <a:srgbClr val="FFC000"/>
                </a:contourClr>
              </a:sp3d>
            </c:spPr>
            <c:extLst>
              <c:ext xmlns:c16="http://schemas.microsoft.com/office/drawing/2014/chart" uri="{C3380CC4-5D6E-409C-BE32-E72D297353CC}">
                <c16:uniqueId val="{00000005-617E-4390-9EA4-9A0E3CC973BC}"/>
              </c:ext>
            </c:extLst>
          </c:dPt>
          <c:dPt>
            <c:idx val="3"/>
            <c:bubble3D val="0"/>
            <c:spPr>
              <a:solidFill>
                <a:schemeClr val="bg1">
                  <a:lumMod val="85000"/>
                </a:schemeClr>
              </a:solidFill>
              <a:ln w="31750">
                <a:solidFill>
                  <a:schemeClr val="bg1">
                    <a:lumMod val="85000"/>
                  </a:schemeClr>
                </a:solidFill>
              </a:ln>
              <a:effectLst/>
              <a:scene3d>
                <a:camera prst="orthographicFront"/>
                <a:lightRig rig="threePt" dir="t"/>
              </a:scene3d>
              <a:sp3d contourW="31750" prstMaterial="matte">
                <a:contourClr>
                  <a:schemeClr val="bg1">
                    <a:lumMod val="85000"/>
                  </a:schemeClr>
                </a:contourClr>
              </a:sp3d>
            </c:spPr>
            <c:extLst>
              <c:ext xmlns:c16="http://schemas.microsoft.com/office/drawing/2014/chart" uri="{C3380CC4-5D6E-409C-BE32-E72D297353CC}">
                <c16:uniqueId val="{00000007-617E-4390-9EA4-9A0E3CC973BC}"/>
              </c:ext>
            </c:extLst>
          </c:dPt>
          <c:dPt>
            <c:idx val="4"/>
            <c:bubble3D val="0"/>
            <c:spPr>
              <a:solidFill>
                <a:schemeClr val="accent6">
                  <a:lumMod val="20000"/>
                  <a:lumOff val="80000"/>
                </a:schemeClr>
              </a:solidFill>
              <a:ln w="31750">
                <a:solidFill>
                  <a:schemeClr val="accent6">
                    <a:lumMod val="20000"/>
                    <a:lumOff val="80000"/>
                  </a:schemeClr>
                </a:solidFill>
              </a:ln>
              <a:effectLst/>
              <a:scene3d>
                <a:camera prst="orthographicFront"/>
                <a:lightRig rig="threePt" dir="t"/>
              </a:scene3d>
              <a:sp3d contourW="31750" prstMaterial="matte">
                <a:contourClr>
                  <a:schemeClr val="accent6">
                    <a:lumMod val="20000"/>
                    <a:lumOff val="80000"/>
                  </a:schemeClr>
                </a:contourClr>
              </a:sp3d>
            </c:spPr>
            <c:extLst>
              <c:ext xmlns:c16="http://schemas.microsoft.com/office/drawing/2014/chart" uri="{C3380CC4-5D6E-409C-BE32-E72D297353CC}">
                <c16:uniqueId val="{00000009-617E-4390-9EA4-9A0E3CC973BC}"/>
              </c:ext>
            </c:extLst>
          </c:dPt>
          <c:dLbls>
            <c:spPr>
              <a:noFill/>
              <a:ln>
                <a:noFill/>
              </a:ln>
              <a:effectLst/>
            </c:spPr>
            <c:txPr>
              <a:bodyPr rot="0" spcFirstLastPara="1" vertOverflow="ellipsis" vert="horz" wrap="square" lIns="38100" tIns="19050" rIns="38100" bIns="19050" anchor="ctr" anchorCtr="0">
                <a:spAutoFit/>
              </a:bodyPr>
              <a:lstStyle/>
              <a:p>
                <a:pPr>
                  <a:defRPr sz="1200" b="0" i="0" u="none" strike="noStrike" kern="1200" baseline="0">
                    <a:solidFill>
                      <a:schemeClr val="tx1">
                        <a:lumMod val="75000"/>
                        <a:lumOff val="25000"/>
                      </a:schemeClr>
                    </a:solidFill>
                    <a:latin typeface="+mn-lt"/>
                    <a:ea typeface="+mn-ea"/>
                    <a:cs typeface="+mn-cs"/>
                  </a:defRPr>
                </a:pPr>
                <a:endParaRPr lang="lt-LT"/>
              </a:p>
            </c:txPr>
            <c:dLblPos val="inEnd"/>
            <c:showLegendKey val="0"/>
            <c:showVal val="1"/>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Planas!$V$359:$V$363</c:f>
              <c:strCache>
                <c:ptCount val="5"/>
                <c:pt idx="0">
                  <c:v>Priemonė buvo įvykdyta pagal planą</c:v>
                </c:pt>
                <c:pt idx="1">
                  <c:v>Vykdant priemonę buvo pasiekta vertinimo kriterijų reikšmių mažiau nei 50 %</c:v>
                </c:pt>
                <c:pt idx="2">
                  <c:v>Vykdant priemonę buvo pasiekta vertinimo kriterijų reikšmių 50 % ir daugiau</c:v>
                </c:pt>
                <c:pt idx="3">
                  <c:v>Vykdant priemonę buvo pasiekta daugiau vertinimo kriterijų reikšmių nei planuota</c:v>
                </c:pt>
                <c:pt idx="4">
                  <c:v>Priemonė neįvykdyta, t.y. nepasiekta planuota vertinimo kriterijų reikšmė</c:v>
                </c:pt>
              </c:strCache>
            </c:strRef>
          </c:cat>
          <c:val>
            <c:numRef>
              <c:f>Planas!$W$359:$W$363</c:f>
              <c:numCache>
                <c:formatCode>General</c:formatCode>
                <c:ptCount val="5"/>
                <c:pt idx="0">
                  <c:v>5</c:v>
                </c:pt>
                <c:pt idx="1">
                  <c:v>2</c:v>
                </c:pt>
                <c:pt idx="2">
                  <c:v>4</c:v>
                </c:pt>
                <c:pt idx="3">
                  <c:v>1</c:v>
                </c:pt>
              </c:numCache>
            </c:numRef>
          </c:val>
          <c:extLst>
            <c:ext xmlns:c16="http://schemas.microsoft.com/office/drawing/2014/chart" uri="{C3380CC4-5D6E-409C-BE32-E72D297353CC}">
              <c16:uniqueId val="{0000000A-617E-4390-9EA4-9A0E3CC973BC}"/>
            </c:ext>
          </c:extLst>
        </c:ser>
        <c:dLbls>
          <c:dLblPos val="bestFit"/>
          <c:showLegendKey val="0"/>
          <c:showVal val="1"/>
          <c:showCatName val="0"/>
          <c:showSerName val="0"/>
          <c:showPercent val="0"/>
          <c:showBubbleSize val="0"/>
          <c:showLeaderLines val="1"/>
        </c:dLbls>
      </c:pie3DChart>
      <c:spPr>
        <a:solidFill>
          <a:schemeClr val="bg1">
            <a:lumMod val="95000"/>
          </a:schemeClr>
        </a:solidFill>
        <a:ln>
          <a:noFill/>
        </a:ln>
        <a:effectLst/>
      </c:spPr>
    </c:plotArea>
    <c:legend>
      <c:legendPos val="b"/>
      <c:layout>
        <c:manualLayout>
          <c:xMode val="edge"/>
          <c:yMode val="edge"/>
          <c:x val="2.256379873216996E-2"/>
          <c:y val="0.75093203096705152"/>
          <c:w val="0.95487225100822581"/>
          <c:h val="0.23416642482620731"/>
        </c:manualLayout>
      </c:layout>
      <c:overlay val="0"/>
      <c:spPr>
        <a:solidFill>
          <a:schemeClr val="bg1">
            <a:lumMod val="95000"/>
          </a:schemeClr>
        </a:solidFill>
        <a:ln>
          <a:gradFill flip="none" rotWithShape="1">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tileRect/>
          </a:gradFill>
        </a:ln>
        <a:effectLst/>
      </c:spPr>
      <c:txPr>
        <a:bodyPr rot="0" spcFirstLastPara="1" vertOverflow="ellipsis" vert="horz" wrap="square" anchor="ctr" anchorCtr="1"/>
        <a:lstStyle/>
        <a:p>
          <a:pPr>
            <a:defRPr sz="1200" b="0" i="0" u="none" strike="noStrike" kern="1200" baseline="0">
              <a:ln>
                <a:noFill/>
              </a:ln>
              <a:solidFill>
                <a:schemeClr val="tx1"/>
              </a:solidFill>
              <a:latin typeface="Times New Roman" panose="02020603050405020304" pitchFamily="18" charset="0"/>
              <a:ea typeface="+mn-ea"/>
              <a:cs typeface="Times New Roman" panose="02020603050405020304" pitchFamily="18" charset="0"/>
            </a:defRPr>
          </a:pPr>
          <a:endParaRPr lang="lt-LT"/>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lumMod val="85000"/>
      </a:schemeClr>
    </a:solidFill>
    <a:ln w="9525" cap="flat" cmpd="sng" algn="ctr">
      <a:solidFill>
        <a:schemeClr val="tx1">
          <a:lumMod val="15000"/>
          <a:lumOff val="85000"/>
        </a:schemeClr>
      </a:solidFill>
      <a:round/>
    </a:ln>
    <a:effectLst>
      <a:softEdge rad="0"/>
    </a:effectLst>
  </c:spPr>
  <c:txPr>
    <a:bodyPr/>
    <a:lstStyle/>
    <a:p>
      <a:pPr>
        <a:defRPr/>
      </a:pPr>
      <a:endParaRPr lang="lt-LT"/>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1" i="0" u="none" strike="noStrike" kern="1200" spc="0" baseline="0">
                <a:solidFill>
                  <a:schemeClr val="tx1"/>
                </a:solidFill>
                <a:latin typeface="Times New Roman" panose="02020603050405020304" pitchFamily="18" charset="0"/>
                <a:ea typeface="+mn-ea"/>
                <a:cs typeface="Times New Roman" panose="02020603050405020304" pitchFamily="18" charset="0"/>
              </a:defRPr>
            </a:pPr>
            <a:r>
              <a:rPr lang="lt-LT" b="1"/>
              <a:t>2024 m. 06 programos vykdymo palyginimas su 2023 m.</a:t>
            </a:r>
          </a:p>
        </c:rich>
      </c:tx>
      <c:overlay val="0"/>
      <c:spPr>
        <a:noFill/>
        <a:ln>
          <a:noFill/>
        </a:ln>
        <a:effectLst/>
      </c:spPr>
      <c:txPr>
        <a:bodyPr rot="0" spcFirstLastPara="1" vertOverflow="ellipsis" vert="horz" wrap="square" anchor="ctr" anchorCtr="1"/>
        <a:lstStyle/>
        <a:p>
          <a:pPr>
            <a:defRPr sz="1440" b="1" i="0" u="none" strike="noStrike" kern="1200" spc="0" baseline="0">
              <a:solidFill>
                <a:schemeClr val="tx1"/>
              </a:solidFill>
              <a:latin typeface="Times New Roman" panose="02020603050405020304" pitchFamily="18" charset="0"/>
              <a:ea typeface="+mn-ea"/>
              <a:cs typeface="Times New Roman" panose="02020603050405020304" pitchFamily="18" charset="0"/>
            </a:defRPr>
          </a:pPr>
          <a:endParaRPr lang="lt-LT"/>
        </a:p>
      </c:txPr>
    </c:title>
    <c:autoTitleDeleted val="0"/>
    <c:plotArea>
      <c:layout>
        <c:manualLayout>
          <c:layoutTarget val="inner"/>
          <c:xMode val="edge"/>
          <c:yMode val="edge"/>
          <c:x val="9.2114197530864195E-2"/>
          <c:y val="0.10936134259259259"/>
          <c:w val="0.81829984567901248"/>
          <c:h val="0.48786805555555546"/>
        </c:manualLayout>
      </c:layout>
      <c:barChart>
        <c:barDir val="col"/>
        <c:grouping val="clustered"/>
        <c:varyColors val="0"/>
        <c:ser>
          <c:idx val="0"/>
          <c:order val="0"/>
          <c:tx>
            <c:strRef>
              <c:f>'[1]2024 m'!$B$58</c:f>
              <c:strCache>
                <c:ptCount val="1"/>
                <c:pt idx="0">
                  <c:v>Priemonė buvo įvykdyta pagal planą</c:v>
                </c:pt>
              </c:strCache>
            </c:strRef>
          </c:tx>
          <c:spPr>
            <a:solidFill>
              <a:srgbClr val="E2EFDA"/>
            </a:solidFill>
            <a:ln>
              <a:noFill/>
            </a:ln>
            <a:effectLst/>
            <a:scene3d>
              <a:camera prst="orthographicFront"/>
              <a:lightRig rig="threePt" dir="t"/>
            </a:scene3d>
            <a:sp3d>
              <a:bevelT/>
            </a:sp3d>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lt-LT"/>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'[1]2024 m'!$C$57:$D$57</c:f>
              <c:numCache>
                <c:formatCode>General</c:formatCode>
                <c:ptCount val="2"/>
                <c:pt idx="0">
                  <c:v>2023</c:v>
                </c:pt>
                <c:pt idx="1">
                  <c:v>2024</c:v>
                </c:pt>
              </c:numCache>
            </c:numRef>
          </c:cat>
          <c:val>
            <c:numRef>
              <c:f>'[1]2024 m'!$C$58:$D$58</c:f>
              <c:numCache>
                <c:formatCode>General</c:formatCode>
                <c:ptCount val="2"/>
                <c:pt idx="0">
                  <c:v>6</c:v>
                </c:pt>
                <c:pt idx="1">
                  <c:v>5</c:v>
                </c:pt>
              </c:numCache>
            </c:numRef>
          </c:val>
          <c:extLst>
            <c:ext xmlns:c16="http://schemas.microsoft.com/office/drawing/2014/chart" uri="{C3380CC4-5D6E-409C-BE32-E72D297353CC}">
              <c16:uniqueId val="{00000000-A83F-49FE-B443-6BAB194C56E0}"/>
            </c:ext>
          </c:extLst>
        </c:ser>
        <c:ser>
          <c:idx val="1"/>
          <c:order val="1"/>
          <c:tx>
            <c:strRef>
              <c:f>'[1]2024 m'!$B$59</c:f>
              <c:strCache>
                <c:ptCount val="1"/>
                <c:pt idx="0">
                  <c:v>Vykdant priemonę buvo pasiekta vertinimo kriterijų reikšmių mažiau nei 50 %</c:v>
                </c:pt>
              </c:strCache>
            </c:strRef>
          </c:tx>
          <c:spPr>
            <a:solidFill>
              <a:srgbClr val="FFCCCC"/>
            </a:solidFill>
            <a:ln>
              <a:noFill/>
            </a:ln>
            <a:effectLst/>
            <a:scene3d>
              <a:camera prst="orthographicFront"/>
              <a:lightRig rig="threePt" dir="t"/>
            </a:scene3d>
            <a:sp3d>
              <a:bevelT/>
            </a:sp3d>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lt-LT"/>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'[1]2024 m'!$C$57:$D$57</c:f>
              <c:numCache>
                <c:formatCode>General</c:formatCode>
                <c:ptCount val="2"/>
                <c:pt idx="0">
                  <c:v>2023</c:v>
                </c:pt>
                <c:pt idx="1">
                  <c:v>2024</c:v>
                </c:pt>
              </c:numCache>
            </c:numRef>
          </c:cat>
          <c:val>
            <c:numRef>
              <c:f>'[1]2024 m'!$C$59:$D$59</c:f>
              <c:numCache>
                <c:formatCode>General</c:formatCode>
                <c:ptCount val="2"/>
                <c:pt idx="0">
                  <c:v>0</c:v>
                </c:pt>
                <c:pt idx="1">
                  <c:v>2</c:v>
                </c:pt>
              </c:numCache>
            </c:numRef>
          </c:val>
          <c:extLst>
            <c:ext xmlns:c16="http://schemas.microsoft.com/office/drawing/2014/chart" uri="{C3380CC4-5D6E-409C-BE32-E72D297353CC}">
              <c16:uniqueId val="{00000001-A83F-49FE-B443-6BAB194C56E0}"/>
            </c:ext>
          </c:extLst>
        </c:ser>
        <c:ser>
          <c:idx val="2"/>
          <c:order val="2"/>
          <c:tx>
            <c:strRef>
              <c:f>'[1]2024 m'!$B$60</c:f>
              <c:strCache>
                <c:ptCount val="1"/>
                <c:pt idx="0">
                  <c:v>Vykdant priemonę buvo pasiekta vertinimo kriterijų reikšmių 50 % ir daugiau</c:v>
                </c:pt>
              </c:strCache>
            </c:strRef>
          </c:tx>
          <c:spPr>
            <a:solidFill>
              <a:srgbClr val="FFC000"/>
            </a:solidFill>
            <a:ln>
              <a:noFill/>
            </a:ln>
            <a:effectLst/>
            <a:scene3d>
              <a:camera prst="orthographicFront"/>
              <a:lightRig rig="threePt" dir="t"/>
            </a:scene3d>
            <a:sp3d>
              <a:bevelT/>
            </a:sp3d>
          </c:spPr>
          <c:invertIfNegative val="0"/>
          <c:dLbls>
            <c:dLbl>
              <c:idx val="1"/>
              <c:layout>
                <c:manualLayout>
                  <c:x val="1.9598768456598635E-3"/>
                  <c:y val="1.404119842402478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A83F-49FE-B443-6BAB194C56E0}"/>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lt-LT"/>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'[1]2024 m'!$C$57:$D$57</c:f>
              <c:numCache>
                <c:formatCode>General</c:formatCode>
                <c:ptCount val="2"/>
                <c:pt idx="0">
                  <c:v>2023</c:v>
                </c:pt>
                <c:pt idx="1">
                  <c:v>2024</c:v>
                </c:pt>
              </c:numCache>
            </c:numRef>
          </c:cat>
          <c:val>
            <c:numRef>
              <c:f>'[1]2024 m'!$C$60:$D$60</c:f>
              <c:numCache>
                <c:formatCode>General</c:formatCode>
                <c:ptCount val="2"/>
                <c:pt idx="0">
                  <c:v>3</c:v>
                </c:pt>
                <c:pt idx="1">
                  <c:v>4</c:v>
                </c:pt>
              </c:numCache>
            </c:numRef>
          </c:val>
          <c:extLst>
            <c:ext xmlns:c16="http://schemas.microsoft.com/office/drawing/2014/chart" uri="{C3380CC4-5D6E-409C-BE32-E72D297353CC}">
              <c16:uniqueId val="{00000003-A83F-49FE-B443-6BAB194C56E0}"/>
            </c:ext>
          </c:extLst>
        </c:ser>
        <c:ser>
          <c:idx val="3"/>
          <c:order val="3"/>
          <c:tx>
            <c:strRef>
              <c:f>'[1]2024 m'!$B$61</c:f>
              <c:strCache>
                <c:ptCount val="1"/>
                <c:pt idx="0">
                  <c:v>Vykdant priemonę buvo pasiekta daugiau vertinimo kriterijų reikšmių nei planuota</c:v>
                </c:pt>
              </c:strCache>
            </c:strRef>
          </c:tx>
          <c:spPr>
            <a:solidFill>
              <a:schemeClr val="bg1">
                <a:lumMod val="85000"/>
              </a:schemeClr>
            </a:solidFill>
            <a:ln>
              <a:solidFill>
                <a:schemeClr val="bg1">
                  <a:lumMod val="85000"/>
                </a:schemeClr>
              </a:solidFill>
            </a:ln>
            <a:effectLst/>
            <a:scene3d>
              <a:camera prst="orthographicFront"/>
              <a:lightRig rig="threePt" dir="t"/>
            </a:scene3d>
            <a:sp3d>
              <a:bevelT/>
            </a:sp3d>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lt-LT"/>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'[1]2024 m'!$C$57:$D$57</c:f>
              <c:numCache>
                <c:formatCode>General</c:formatCode>
                <c:ptCount val="2"/>
                <c:pt idx="0">
                  <c:v>2023</c:v>
                </c:pt>
                <c:pt idx="1">
                  <c:v>2024</c:v>
                </c:pt>
              </c:numCache>
            </c:numRef>
          </c:cat>
          <c:val>
            <c:numRef>
              <c:f>'[1]2024 m'!$C$61:$D$61</c:f>
              <c:numCache>
                <c:formatCode>General</c:formatCode>
                <c:ptCount val="2"/>
                <c:pt idx="0">
                  <c:v>3</c:v>
                </c:pt>
                <c:pt idx="1">
                  <c:v>1</c:v>
                </c:pt>
              </c:numCache>
            </c:numRef>
          </c:val>
          <c:extLst>
            <c:ext xmlns:c16="http://schemas.microsoft.com/office/drawing/2014/chart" uri="{C3380CC4-5D6E-409C-BE32-E72D297353CC}">
              <c16:uniqueId val="{00000004-A83F-49FE-B443-6BAB194C56E0}"/>
            </c:ext>
          </c:extLst>
        </c:ser>
        <c:ser>
          <c:idx val="4"/>
          <c:order val="4"/>
          <c:tx>
            <c:strRef>
              <c:f>'[1]2024 m'!$B$62</c:f>
              <c:strCache>
                <c:ptCount val="1"/>
                <c:pt idx="0">
                  <c:v>Priemonė neįvykdyta, t.y. nepasiekta planuota vertinimo kriterijų reikšmė</c:v>
                </c:pt>
              </c:strCache>
            </c:strRef>
          </c:tx>
          <c:spPr>
            <a:solidFill>
              <a:srgbClr val="FCE4D6"/>
            </a:solidFill>
            <a:ln>
              <a:noFill/>
            </a:ln>
            <a:effectLst/>
            <a:scene3d>
              <a:camera prst="orthographicFront"/>
              <a:lightRig rig="threePt" dir="t"/>
            </a:scene3d>
            <a:sp3d>
              <a:bevelT/>
            </a:sp3d>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lt-LT"/>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'[1]2024 m'!$C$57:$D$57</c:f>
              <c:numCache>
                <c:formatCode>General</c:formatCode>
                <c:ptCount val="2"/>
                <c:pt idx="0">
                  <c:v>2023</c:v>
                </c:pt>
                <c:pt idx="1">
                  <c:v>2024</c:v>
                </c:pt>
              </c:numCache>
            </c:numRef>
          </c:cat>
          <c:val>
            <c:numRef>
              <c:f>'[1]2024 m'!$C$62:$D$62</c:f>
              <c:numCache>
                <c:formatCode>General</c:formatCode>
                <c:ptCount val="2"/>
                <c:pt idx="0">
                  <c:v>1</c:v>
                </c:pt>
                <c:pt idx="1">
                  <c:v>0</c:v>
                </c:pt>
              </c:numCache>
            </c:numRef>
          </c:val>
          <c:extLst>
            <c:ext xmlns:c16="http://schemas.microsoft.com/office/drawing/2014/chart" uri="{C3380CC4-5D6E-409C-BE32-E72D297353CC}">
              <c16:uniqueId val="{00000005-A83F-49FE-B443-6BAB194C56E0}"/>
            </c:ext>
          </c:extLst>
        </c:ser>
        <c:dLbls>
          <c:showLegendKey val="0"/>
          <c:showVal val="1"/>
          <c:showCatName val="0"/>
          <c:showSerName val="0"/>
          <c:showPercent val="0"/>
          <c:showBubbleSize val="0"/>
        </c:dLbls>
        <c:gapWidth val="150"/>
        <c:axId val="1495728303"/>
        <c:axId val="1495744527"/>
      </c:barChart>
      <c:lineChart>
        <c:grouping val="standard"/>
        <c:varyColors val="0"/>
        <c:ser>
          <c:idx val="5"/>
          <c:order val="5"/>
          <c:tx>
            <c:strRef>
              <c:f>'[1]2024 m'!$B$63</c:f>
              <c:strCache>
                <c:ptCount val="1"/>
                <c:pt idx="0">
                  <c:v>Iš viso programų priemonių</c:v>
                </c:pt>
              </c:strCache>
            </c:strRef>
          </c:tx>
          <c:spPr>
            <a:ln w="28575" cap="rnd">
              <a:solidFill>
                <a:srgbClr val="FFC000"/>
              </a:solidFill>
              <a:round/>
            </a:ln>
            <a:effectLst/>
          </c:spPr>
          <c:marker>
            <c:symbol val="circle"/>
            <c:size val="7"/>
            <c:spPr>
              <a:solidFill>
                <a:schemeClr val="accent4">
                  <a:lumMod val="60000"/>
                  <a:lumOff val="40000"/>
                </a:schemeClr>
              </a:solidFill>
              <a:ln w="9525">
                <a:solidFill>
                  <a:schemeClr val="accent4"/>
                </a:solidFill>
              </a:ln>
              <a:effectLst/>
              <a:scene3d>
                <a:camera prst="orthographicFront"/>
                <a:lightRig rig="threePt" dir="t"/>
              </a:scene3d>
              <a:sp3d>
                <a:bevelT/>
              </a:sp3d>
            </c:spPr>
          </c:marker>
          <c:dLbls>
            <c:dLbl>
              <c:idx val="0"/>
              <c:layout>
                <c:manualLayout>
                  <c:x val="-3.919753691320018E-2"/>
                  <c:y val="-3.650711590246430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A83F-49FE-B443-6BAB194C56E0}"/>
                </c:ext>
              </c:extLst>
            </c:dLbl>
            <c:dLbl>
              <c:idx val="1"/>
              <c:layout>
                <c:manualLayout>
                  <c:x val="-2.5478398993580093E-2"/>
                  <c:y val="-3.089063653285446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A83F-49FE-B443-6BAB194C56E0}"/>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lt-LT"/>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'[1]2024 m'!$C$57:$D$57</c:f>
              <c:numCache>
                <c:formatCode>General</c:formatCode>
                <c:ptCount val="2"/>
                <c:pt idx="0">
                  <c:v>2023</c:v>
                </c:pt>
                <c:pt idx="1">
                  <c:v>2024</c:v>
                </c:pt>
              </c:numCache>
            </c:numRef>
          </c:cat>
          <c:val>
            <c:numRef>
              <c:f>'[1]2024 m'!$C$63:$D$63</c:f>
              <c:numCache>
                <c:formatCode>General</c:formatCode>
                <c:ptCount val="2"/>
                <c:pt idx="0">
                  <c:v>13</c:v>
                </c:pt>
                <c:pt idx="1">
                  <c:v>12</c:v>
                </c:pt>
              </c:numCache>
            </c:numRef>
          </c:val>
          <c:smooth val="0"/>
          <c:extLst>
            <c:ext xmlns:c16="http://schemas.microsoft.com/office/drawing/2014/chart" uri="{C3380CC4-5D6E-409C-BE32-E72D297353CC}">
              <c16:uniqueId val="{00000008-A83F-49FE-B443-6BAB194C56E0}"/>
            </c:ext>
          </c:extLst>
        </c:ser>
        <c:dLbls>
          <c:showLegendKey val="0"/>
          <c:showVal val="1"/>
          <c:showCatName val="0"/>
          <c:showSerName val="0"/>
          <c:showPercent val="0"/>
          <c:showBubbleSize val="0"/>
        </c:dLbls>
        <c:marker val="1"/>
        <c:smooth val="0"/>
        <c:axId val="1632945087"/>
        <c:axId val="1632942591"/>
      </c:lineChart>
      <c:catAx>
        <c:axId val="1495728303"/>
        <c:scaling>
          <c:orientation val="minMax"/>
        </c:scaling>
        <c:delete val="0"/>
        <c:axPos val="b"/>
        <c:title>
          <c:tx>
            <c:rich>
              <a:bodyPr rot="0" spcFirstLastPara="1" vertOverflow="ellipsis" vert="horz" wrap="square" anchor="ctr" anchorCtr="1"/>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r>
                  <a:rPr lang="lt-LT"/>
                  <a:t>Metai</a:t>
                </a:r>
              </a:p>
            </c:rich>
          </c:tx>
          <c:layout>
            <c:manualLayout>
              <c:xMode val="edge"/>
              <c:yMode val="edge"/>
              <c:x val="0.48600648148148146"/>
              <c:y val="0.63521180555555556"/>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lt-LT"/>
            </a:p>
          </c:txPr>
        </c:title>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lt-LT"/>
          </a:p>
        </c:txPr>
        <c:crossAx val="1495744527"/>
        <c:crosses val="autoZero"/>
        <c:auto val="1"/>
        <c:lblAlgn val="ctr"/>
        <c:lblOffset val="100"/>
        <c:noMultiLvlLbl val="0"/>
      </c:catAx>
      <c:valAx>
        <c:axId val="1495744527"/>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r>
                  <a:rPr lang="lt-LT" sz="1200"/>
                  <a:t>Progamų priemonių skaičius</a:t>
                </a:r>
              </a:p>
            </c:rich>
          </c:tx>
          <c:layout>
            <c:manualLayout>
              <c:xMode val="edge"/>
              <c:yMode val="edge"/>
              <c:x val="1.0191358024691358E-2"/>
              <c:y val="0.15776712661357695"/>
            </c:manualLayout>
          </c:layout>
          <c:overlay val="0"/>
          <c:spPr>
            <a:noFill/>
            <a:ln>
              <a:noFill/>
            </a:ln>
            <a:effectLst/>
          </c:spPr>
          <c:txPr>
            <a:bodyPr rot="-5400000" spcFirstLastPara="1" vertOverflow="ellipsis" vert="horz" wrap="square" anchor="ctr" anchorCtr="1"/>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lt-LT"/>
            </a:p>
          </c:txPr>
        </c:title>
        <c:numFmt formatCode="General"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lt-LT"/>
          </a:p>
        </c:txPr>
        <c:crossAx val="1495728303"/>
        <c:crosses val="autoZero"/>
        <c:crossBetween val="between"/>
      </c:valAx>
      <c:valAx>
        <c:axId val="1632942591"/>
        <c:scaling>
          <c:orientation val="minMax"/>
        </c:scaling>
        <c:delete val="0"/>
        <c:axPos val="r"/>
        <c:title>
          <c:tx>
            <c:rich>
              <a:bodyPr rot="-5400000" spcFirstLastPara="1" vertOverflow="ellipsis" vert="horz" wrap="square" anchor="ctr" anchorCtr="1"/>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r>
                  <a:rPr lang="lt-LT"/>
                  <a:t>Programų</a:t>
                </a:r>
                <a:r>
                  <a:rPr lang="lt-LT" baseline="0"/>
                  <a:t> priemonių skaičius</a:t>
                </a:r>
                <a:endParaRPr lang="lt-LT"/>
              </a:p>
            </c:rich>
          </c:tx>
          <c:overlay val="0"/>
          <c:spPr>
            <a:noFill/>
            <a:ln>
              <a:noFill/>
            </a:ln>
            <a:effectLst/>
          </c:spPr>
          <c:txPr>
            <a:bodyPr rot="-5400000" spcFirstLastPara="1" vertOverflow="ellipsis" vert="horz" wrap="square" anchor="ctr" anchorCtr="1"/>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lt-LT"/>
            </a:p>
          </c:txPr>
        </c:title>
        <c:numFmt formatCode="General"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lt-LT"/>
          </a:p>
        </c:txPr>
        <c:crossAx val="1632945087"/>
        <c:crosses val="max"/>
        <c:crossBetween val="between"/>
      </c:valAx>
      <c:catAx>
        <c:axId val="1632945087"/>
        <c:scaling>
          <c:orientation val="minMax"/>
        </c:scaling>
        <c:delete val="1"/>
        <c:axPos val="b"/>
        <c:numFmt formatCode="General" sourceLinked="1"/>
        <c:majorTickMark val="out"/>
        <c:minorTickMark val="none"/>
        <c:tickLblPos val="nextTo"/>
        <c:crossAx val="1632942591"/>
        <c:crosses val="autoZero"/>
        <c:auto val="1"/>
        <c:lblAlgn val="ctr"/>
        <c:lblOffset val="100"/>
        <c:noMultiLvlLbl val="0"/>
      </c:catAx>
      <c:spPr>
        <a:solidFill>
          <a:schemeClr val="bg1">
            <a:lumMod val="95000"/>
          </a:schemeClr>
        </a:solidFill>
        <a:ln>
          <a:noFill/>
        </a:ln>
        <a:effectLst/>
      </c:spPr>
    </c:plotArea>
    <c:legend>
      <c:legendPos val="b"/>
      <c:layout>
        <c:manualLayout>
          <c:xMode val="edge"/>
          <c:yMode val="edge"/>
          <c:x val="4.7813278983530709E-2"/>
          <c:y val="0.69035862768623613"/>
          <c:w val="0.92355570987654323"/>
          <c:h val="0.29560017388973925"/>
        </c:manualLayout>
      </c:layout>
      <c:overlay val="0"/>
      <c:spPr>
        <a:solidFill>
          <a:schemeClr val="bg1">
            <a:lumMod val="95000"/>
          </a:schemeClr>
        </a:solidFill>
        <a:ln>
          <a:noFill/>
        </a:ln>
        <a:effectLst/>
      </c:spPr>
      <c:txPr>
        <a:bodyPr rot="0" spcFirstLastPara="1" vertOverflow="ellipsis" vert="horz" wrap="square" anchor="ctr" anchorCtr="1"/>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lt-LT"/>
        </a:p>
      </c:txPr>
    </c:legend>
    <c:plotVisOnly val="1"/>
    <c:dispBlanksAs val="gap"/>
    <c:showDLblsOverMax val="0"/>
  </c:chart>
  <c:spPr>
    <a:solidFill>
      <a:schemeClr val="bg1">
        <a:lumMod val="85000"/>
      </a:schemeClr>
    </a:solidFill>
    <a:ln w="9525" cap="flat" cmpd="sng" algn="ctr">
      <a:solidFill>
        <a:schemeClr val="tx1">
          <a:lumMod val="15000"/>
          <a:lumOff val="85000"/>
        </a:schemeClr>
      </a:solidFill>
      <a:round/>
    </a:ln>
    <a:effectLst/>
  </c:spPr>
  <c:txPr>
    <a:bodyPr/>
    <a:lstStyle/>
    <a:p>
      <a:pPr>
        <a:defRPr sz="1200">
          <a:solidFill>
            <a:schemeClr val="tx1"/>
          </a:solidFill>
          <a:latin typeface="Times New Roman" panose="02020603050405020304" pitchFamily="18" charset="0"/>
          <a:cs typeface="Times New Roman" panose="02020603050405020304" pitchFamily="18" charset="0"/>
        </a:defRPr>
      </a:pPr>
      <a:endParaRPr lang="lt-LT"/>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a:defRPr sz="1400" b="1" i="0" u="none" strike="noStrike" kern="1200" spc="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r>
              <a:rPr lang="lt-LT" b="1">
                <a:latin typeface="Times New Roman" panose="02020603050405020304" pitchFamily="18" charset="0"/>
                <a:cs typeface="Times New Roman" panose="02020603050405020304" pitchFamily="18" charset="0"/>
              </a:rPr>
              <a:t>07 programos vykdymas</a:t>
            </a:r>
            <a:endParaRPr lang="en-US" b="1">
              <a:latin typeface="Times New Roman" panose="02020603050405020304" pitchFamily="18" charset="0"/>
              <a:cs typeface="Times New Roman" panose="02020603050405020304" pitchFamily="18" charset="0"/>
            </a:endParaRPr>
          </a:p>
        </c:rich>
      </c:tx>
      <c:layout>
        <c:manualLayout>
          <c:xMode val="edge"/>
          <c:yMode val="edge"/>
          <c:x val="0.33486259871065305"/>
          <c:y val="2.2352316310111694E-2"/>
        </c:manualLayout>
      </c:layout>
      <c:overlay val="0"/>
      <c:spPr>
        <a:noFill/>
        <a:ln>
          <a:noFill/>
        </a:ln>
        <a:effectLst/>
      </c:spPr>
      <c:txPr>
        <a:bodyPr rot="0" spcFirstLastPara="1" vertOverflow="ellipsis" vert="horz" wrap="square" anchor="ctr" anchorCtr="1"/>
        <a:lstStyle/>
        <a:p>
          <a:pPr algn="ctr">
            <a:defRPr sz="1400" b="1" i="0" u="none" strike="noStrike" kern="1200" spc="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en-US"/>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spPr>
            <a:ln w="31750"/>
            <a:scene3d>
              <a:camera prst="orthographicFront"/>
              <a:lightRig rig="threePt" dir="t"/>
            </a:scene3d>
            <a:sp3d prstMaterial="matte">
              <a:contourClr>
                <a:srgbClr val="000000"/>
              </a:contourClr>
            </a:sp3d>
          </c:spPr>
          <c:explosion val="5"/>
          <c:dPt>
            <c:idx val="0"/>
            <c:bubble3D val="0"/>
            <c:explosion val="2"/>
            <c:spPr>
              <a:solidFill>
                <a:schemeClr val="accent3">
                  <a:lumMod val="20000"/>
                  <a:lumOff val="80000"/>
                </a:schemeClr>
              </a:solidFill>
              <a:ln w="31750">
                <a:solidFill>
                  <a:schemeClr val="accent3">
                    <a:lumMod val="20000"/>
                    <a:lumOff val="80000"/>
                  </a:schemeClr>
                </a:solidFill>
              </a:ln>
              <a:effectLst/>
              <a:scene3d>
                <a:camera prst="orthographicFront"/>
                <a:lightRig rig="threePt" dir="t"/>
              </a:scene3d>
              <a:sp3d contourW="31750" prstMaterial="matte">
                <a:contourClr>
                  <a:schemeClr val="accent3">
                    <a:lumMod val="20000"/>
                    <a:lumOff val="80000"/>
                  </a:schemeClr>
                </a:contourClr>
              </a:sp3d>
            </c:spPr>
            <c:extLst>
              <c:ext xmlns:c16="http://schemas.microsoft.com/office/drawing/2014/chart" uri="{C3380CC4-5D6E-409C-BE32-E72D297353CC}">
                <c16:uniqueId val="{00000001-F881-41FE-9D5F-D78B90912427}"/>
              </c:ext>
            </c:extLst>
          </c:dPt>
          <c:dPt>
            <c:idx val="1"/>
            <c:bubble3D val="0"/>
            <c:spPr>
              <a:solidFill>
                <a:srgbClr val="FFCCCC"/>
              </a:solidFill>
              <a:ln w="31750">
                <a:solidFill>
                  <a:srgbClr val="FFCCCC"/>
                </a:solidFill>
              </a:ln>
              <a:effectLst/>
              <a:scene3d>
                <a:camera prst="orthographicFront"/>
                <a:lightRig rig="threePt" dir="t"/>
              </a:scene3d>
              <a:sp3d contourW="31750" prstMaterial="matte">
                <a:contourClr>
                  <a:srgbClr val="FFCCCC"/>
                </a:contourClr>
              </a:sp3d>
            </c:spPr>
            <c:extLst>
              <c:ext xmlns:c16="http://schemas.microsoft.com/office/drawing/2014/chart" uri="{C3380CC4-5D6E-409C-BE32-E72D297353CC}">
                <c16:uniqueId val="{00000003-F881-41FE-9D5F-D78B90912427}"/>
              </c:ext>
            </c:extLst>
          </c:dPt>
          <c:dPt>
            <c:idx val="2"/>
            <c:bubble3D val="0"/>
            <c:spPr>
              <a:solidFill>
                <a:srgbClr val="FFC000"/>
              </a:solidFill>
              <a:ln w="31750">
                <a:solidFill>
                  <a:srgbClr val="FFC000"/>
                </a:solidFill>
              </a:ln>
              <a:effectLst/>
              <a:scene3d>
                <a:camera prst="orthographicFront"/>
                <a:lightRig rig="threePt" dir="t"/>
              </a:scene3d>
              <a:sp3d contourW="31750" prstMaterial="matte">
                <a:contourClr>
                  <a:srgbClr val="FFC000"/>
                </a:contourClr>
              </a:sp3d>
            </c:spPr>
            <c:extLst>
              <c:ext xmlns:c16="http://schemas.microsoft.com/office/drawing/2014/chart" uri="{C3380CC4-5D6E-409C-BE32-E72D297353CC}">
                <c16:uniqueId val="{00000005-F881-41FE-9D5F-D78B90912427}"/>
              </c:ext>
            </c:extLst>
          </c:dPt>
          <c:dPt>
            <c:idx val="3"/>
            <c:bubble3D val="0"/>
            <c:spPr>
              <a:solidFill>
                <a:schemeClr val="bg1">
                  <a:lumMod val="85000"/>
                </a:schemeClr>
              </a:solidFill>
              <a:ln w="31750">
                <a:solidFill>
                  <a:schemeClr val="bg1">
                    <a:lumMod val="85000"/>
                  </a:schemeClr>
                </a:solidFill>
              </a:ln>
              <a:effectLst/>
              <a:scene3d>
                <a:camera prst="orthographicFront"/>
                <a:lightRig rig="threePt" dir="t"/>
              </a:scene3d>
              <a:sp3d contourW="31750" prstMaterial="matte">
                <a:contourClr>
                  <a:schemeClr val="bg1">
                    <a:lumMod val="85000"/>
                  </a:schemeClr>
                </a:contourClr>
              </a:sp3d>
            </c:spPr>
            <c:extLst>
              <c:ext xmlns:c16="http://schemas.microsoft.com/office/drawing/2014/chart" uri="{C3380CC4-5D6E-409C-BE32-E72D297353CC}">
                <c16:uniqueId val="{00000007-F881-41FE-9D5F-D78B90912427}"/>
              </c:ext>
            </c:extLst>
          </c:dPt>
          <c:dPt>
            <c:idx val="4"/>
            <c:bubble3D val="0"/>
            <c:spPr>
              <a:solidFill>
                <a:schemeClr val="accent6">
                  <a:lumMod val="20000"/>
                  <a:lumOff val="80000"/>
                </a:schemeClr>
              </a:solidFill>
              <a:ln w="31750">
                <a:solidFill>
                  <a:schemeClr val="accent6">
                    <a:lumMod val="20000"/>
                    <a:lumOff val="80000"/>
                  </a:schemeClr>
                </a:solidFill>
              </a:ln>
              <a:effectLst/>
              <a:scene3d>
                <a:camera prst="orthographicFront"/>
                <a:lightRig rig="threePt" dir="t"/>
              </a:scene3d>
              <a:sp3d contourW="31750" prstMaterial="matte">
                <a:contourClr>
                  <a:schemeClr val="accent6">
                    <a:lumMod val="20000"/>
                    <a:lumOff val="80000"/>
                  </a:schemeClr>
                </a:contourClr>
              </a:sp3d>
            </c:spPr>
            <c:extLst>
              <c:ext xmlns:c16="http://schemas.microsoft.com/office/drawing/2014/chart" uri="{C3380CC4-5D6E-409C-BE32-E72D297353CC}">
                <c16:uniqueId val="{00000009-F881-41FE-9D5F-D78B90912427}"/>
              </c:ext>
            </c:extLst>
          </c:dPt>
          <c:dLbls>
            <c:spPr>
              <a:noFill/>
              <a:ln>
                <a:noFill/>
              </a:ln>
              <a:effectLst/>
            </c:spPr>
            <c:txPr>
              <a:bodyPr rot="0" spcFirstLastPara="1" vertOverflow="ellipsis" vert="horz" wrap="square" lIns="38100" tIns="19050" rIns="38100" bIns="19050" anchor="ctr" anchorCtr="0">
                <a:spAutoFit/>
              </a:bodyPr>
              <a:lstStyle/>
              <a:p>
                <a:pPr>
                  <a:defRPr sz="1200" b="0" i="0" u="none" strike="noStrike" kern="1200" baseline="0">
                    <a:solidFill>
                      <a:schemeClr val="tx1">
                        <a:lumMod val="75000"/>
                        <a:lumOff val="25000"/>
                      </a:schemeClr>
                    </a:solidFill>
                    <a:latin typeface="+mn-lt"/>
                    <a:ea typeface="+mn-ea"/>
                    <a:cs typeface="+mn-cs"/>
                  </a:defRPr>
                </a:pPr>
                <a:endParaRPr lang="lt-LT"/>
              </a:p>
            </c:txPr>
            <c:dLblPos val="inEnd"/>
            <c:showLegendKey val="0"/>
            <c:showVal val="1"/>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Planas!$V$393:$V$397</c:f>
              <c:strCache>
                <c:ptCount val="5"/>
                <c:pt idx="0">
                  <c:v>Priemonė buvo įvykdyta pagal planą</c:v>
                </c:pt>
                <c:pt idx="1">
                  <c:v>Vykdant priemonę buvo pasiekta vertinimo kriterijų reikšmių mažiau nei 50 %</c:v>
                </c:pt>
                <c:pt idx="2">
                  <c:v>Vykdant priemonę buvo pasiekta vertinimo kriterijų reikšmių 50 % ir daugiau</c:v>
                </c:pt>
                <c:pt idx="3">
                  <c:v>Vykdant priemonę buvo pasiekta daugiau vertinimo kriterijų reikšmių nei planuota</c:v>
                </c:pt>
                <c:pt idx="4">
                  <c:v>Priemonė neįvykdyta, t.y. nepasiekta planuota vertinimo kriterijų reikšmė</c:v>
                </c:pt>
              </c:strCache>
            </c:strRef>
          </c:cat>
          <c:val>
            <c:numRef>
              <c:f>Planas!$W$393:$W$397</c:f>
              <c:numCache>
                <c:formatCode>General</c:formatCode>
                <c:ptCount val="5"/>
                <c:pt idx="0">
                  <c:v>2</c:v>
                </c:pt>
                <c:pt idx="2">
                  <c:v>4</c:v>
                </c:pt>
                <c:pt idx="3">
                  <c:v>7</c:v>
                </c:pt>
                <c:pt idx="4">
                  <c:v>1</c:v>
                </c:pt>
              </c:numCache>
            </c:numRef>
          </c:val>
          <c:extLst>
            <c:ext xmlns:c16="http://schemas.microsoft.com/office/drawing/2014/chart" uri="{C3380CC4-5D6E-409C-BE32-E72D297353CC}">
              <c16:uniqueId val="{0000000A-F881-41FE-9D5F-D78B90912427}"/>
            </c:ext>
          </c:extLst>
        </c:ser>
        <c:dLbls>
          <c:dLblPos val="bestFit"/>
          <c:showLegendKey val="0"/>
          <c:showVal val="1"/>
          <c:showCatName val="0"/>
          <c:showSerName val="0"/>
          <c:showPercent val="0"/>
          <c:showBubbleSize val="0"/>
          <c:showLeaderLines val="1"/>
        </c:dLbls>
      </c:pie3DChart>
      <c:spPr>
        <a:solidFill>
          <a:schemeClr val="bg1">
            <a:lumMod val="95000"/>
          </a:schemeClr>
        </a:solidFill>
        <a:ln>
          <a:noFill/>
        </a:ln>
        <a:effectLst/>
      </c:spPr>
    </c:plotArea>
    <c:legend>
      <c:legendPos val="b"/>
      <c:layout>
        <c:manualLayout>
          <c:xMode val="edge"/>
          <c:yMode val="edge"/>
          <c:x val="2.256379873216996E-2"/>
          <c:y val="0.75093203096705152"/>
          <c:w val="0.95487225100822581"/>
          <c:h val="0.23416642482620731"/>
        </c:manualLayout>
      </c:layout>
      <c:overlay val="0"/>
      <c:spPr>
        <a:solidFill>
          <a:schemeClr val="bg1">
            <a:lumMod val="95000"/>
          </a:schemeClr>
        </a:solidFill>
        <a:ln>
          <a:gradFill flip="none" rotWithShape="1">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tileRect/>
          </a:gradFill>
        </a:ln>
        <a:effectLst/>
      </c:spPr>
      <c:txPr>
        <a:bodyPr rot="0" spcFirstLastPara="1" vertOverflow="ellipsis" vert="horz" wrap="square" anchor="ctr" anchorCtr="1"/>
        <a:lstStyle/>
        <a:p>
          <a:pPr rtl="0">
            <a:defRPr sz="1200" b="0" i="0" u="none" strike="noStrike" kern="1200" baseline="0">
              <a:ln>
                <a:noFill/>
              </a:ln>
              <a:solidFill>
                <a:schemeClr val="tx1"/>
              </a:solidFill>
              <a:latin typeface="Times New Roman" panose="02020603050405020304" pitchFamily="18" charset="0"/>
              <a:ea typeface="+mn-ea"/>
              <a:cs typeface="Times New Roman" panose="02020603050405020304" pitchFamily="18" charset="0"/>
            </a:defRPr>
          </a:pPr>
          <a:endParaRPr lang="lt-LT"/>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lumMod val="85000"/>
      </a:schemeClr>
    </a:solidFill>
    <a:ln w="9525" cap="flat" cmpd="sng" algn="ctr">
      <a:solidFill>
        <a:schemeClr val="tx1">
          <a:lumMod val="15000"/>
          <a:lumOff val="85000"/>
        </a:schemeClr>
      </a:solidFill>
      <a:round/>
    </a:ln>
    <a:effectLst>
      <a:softEdge rad="0"/>
    </a:effectLst>
  </c:spPr>
  <c:txPr>
    <a:bodyPr/>
    <a:lstStyle/>
    <a:p>
      <a:pPr>
        <a:defRPr/>
      </a:pPr>
      <a:endParaRPr lang="lt-LT"/>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1" i="0" u="none" strike="noStrike" kern="1200" spc="0" baseline="0">
                <a:solidFill>
                  <a:schemeClr val="tx1"/>
                </a:solidFill>
                <a:latin typeface="Times New Roman" panose="02020603050405020304" pitchFamily="18" charset="0"/>
                <a:ea typeface="+mn-ea"/>
                <a:cs typeface="Times New Roman" panose="02020603050405020304" pitchFamily="18" charset="0"/>
              </a:defRPr>
            </a:pPr>
            <a:r>
              <a:rPr lang="lt-LT" b="1"/>
              <a:t>2024 m. 07 programos vykdymo palyginimas su 2023 m.</a:t>
            </a:r>
          </a:p>
        </c:rich>
      </c:tx>
      <c:overlay val="0"/>
      <c:spPr>
        <a:noFill/>
        <a:ln>
          <a:noFill/>
        </a:ln>
        <a:effectLst/>
      </c:spPr>
      <c:txPr>
        <a:bodyPr rot="0" spcFirstLastPara="1" vertOverflow="ellipsis" vert="horz" wrap="square" anchor="ctr" anchorCtr="1"/>
        <a:lstStyle/>
        <a:p>
          <a:pPr>
            <a:defRPr sz="1440" b="1" i="0" u="none" strike="noStrike" kern="1200" spc="0" baseline="0">
              <a:solidFill>
                <a:schemeClr val="tx1"/>
              </a:solidFill>
              <a:latin typeface="Times New Roman" panose="02020603050405020304" pitchFamily="18" charset="0"/>
              <a:ea typeface="+mn-ea"/>
              <a:cs typeface="Times New Roman" panose="02020603050405020304" pitchFamily="18" charset="0"/>
            </a:defRPr>
          </a:pPr>
          <a:endParaRPr lang="lt-LT"/>
        </a:p>
      </c:txPr>
    </c:title>
    <c:autoTitleDeleted val="0"/>
    <c:plotArea>
      <c:layout>
        <c:manualLayout>
          <c:layoutTarget val="inner"/>
          <c:xMode val="edge"/>
          <c:yMode val="edge"/>
          <c:x val="9.2114197530864195E-2"/>
          <c:y val="0.10936134259259259"/>
          <c:w val="0.81829984567901248"/>
          <c:h val="0.48786805555555546"/>
        </c:manualLayout>
      </c:layout>
      <c:barChart>
        <c:barDir val="col"/>
        <c:grouping val="clustered"/>
        <c:varyColors val="0"/>
        <c:ser>
          <c:idx val="0"/>
          <c:order val="0"/>
          <c:tx>
            <c:strRef>
              <c:f>'[1]2024 m'!$B$69</c:f>
              <c:strCache>
                <c:ptCount val="1"/>
                <c:pt idx="0">
                  <c:v>Priemonė buvo įvykdyta pagal planą</c:v>
                </c:pt>
              </c:strCache>
            </c:strRef>
          </c:tx>
          <c:spPr>
            <a:solidFill>
              <a:srgbClr val="E2EFDA"/>
            </a:solidFill>
            <a:ln>
              <a:noFill/>
            </a:ln>
            <a:effectLst/>
            <a:scene3d>
              <a:camera prst="orthographicFront"/>
              <a:lightRig rig="threePt" dir="t"/>
            </a:scene3d>
            <a:sp3d>
              <a:bevelT/>
            </a:sp3d>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lt-LT"/>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'[1]2024 m'!$C$68:$D$68</c:f>
              <c:numCache>
                <c:formatCode>General</c:formatCode>
                <c:ptCount val="2"/>
                <c:pt idx="0">
                  <c:v>2023</c:v>
                </c:pt>
                <c:pt idx="1">
                  <c:v>2024</c:v>
                </c:pt>
              </c:numCache>
            </c:numRef>
          </c:cat>
          <c:val>
            <c:numRef>
              <c:f>'[1]2024 m'!$C$69:$D$69</c:f>
              <c:numCache>
                <c:formatCode>General</c:formatCode>
                <c:ptCount val="2"/>
                <c:pt idx="0">
                  <c:v>4</c:v>
                </c:pt>
                <c:pt idx="1">
                  <c:v>2</c:v>
                </c:pt>
              </c:numCache>
            </c:numRef>
          </c:val>
          <c:extLst>
            <c:ext xmlns:c16="http://schemas.microsoft.com/office/drawing/2014/chart" uri="{C3380CC4-5D6E-409C-BE32-E72D297353CC}">
              <c16:uniqueId val="{00000000-C640-401E-ADB5-D483C545D2A0}"/>
            </c:ext>
          </c:extLst>
        </c:ser>
        <c:ser>
          <c:idx val="1"/>
          <c:order val="1"/>
          <c:tx>
            <c:strRef>
              <c:f>'[1]2024 m'!$B$70</c:f>
              <c:strCache>
                <c:ptCount val="1"/>
                <c:pt idx="0">
                  <c:v>Vykdant priemonę buvo pasiekta vertinimo kriterijų reikšmių mažiau nei 50 %</c:v>
                </c:pt>
              </c:strCache>
            </c:strRef>
          </c:tx>
          <c:spPr>
            <a:solidFill>
              <a:srgbClr val="FFCCCC"/>
            </a:solidFill>
            <a:ln>
              <a:noFill/>
            </a:ln>
            <a:effectLst/>
            <a:scene3d>
              <a:camera prst="orthographicFront"/>
              <a:lightRig rig="threePt" dir="t"/>
            </a:scene3d>
            <a:sp3d>
              <a:bevelT/>
            </a:sp3d>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lt-LT"/>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'[1]2024 m'!$C$68:$D$68</c:f>
              <c:numCache>
                <c:formatCode>General</c:formatCode>
                <c:ptCount val="2"/>
                <c:pt idx="0">
                  <c:v>2023</c:v>
                </c:pt>
                <c:pt idx="1">
                  <c:v>2024</c:v>
                </c:pt>
              </c:numCache>
            </c:numRef>
          </c:cat>
          <c:val>
            <c:numRef>
              <c:f>'[1]2024 m'!$C$70:$D$70</c:f>
              <c:numCache>
                <c:formatCode>General</c:formatCode>
                <c:ptCount val="2"/>
                <c:pt idx="0">
                  <c:v>1</c:v>
                </c:pt>
                <c:pt idx="1">
                  <c:v>0</c:v>
                </c:pt>
              </c:numCache>
            </c:numRef>
          </c:val>
          <c:extLst>
            <c:ext xmlns:c16="http://schemas.microsoft.com/office/drawing/2014/chart" uri="{C3380CC4-5D6E-409C-BE32-E72D297353CC}">
              <c16:uniqueId val="{00000001-C640-401E-ADB5-D483C545D2A0}"/>
            </c:ext>
          </c:extLst>
        </c:ser>
        <c:ser>
          <c:idx val="2"/>
          <c:order val="2"/>
          <c:tx>
            <c:strRef>
              <c:f>'[1]2024 m'!$B$71</c:f>
              <c:strCache>
                <c:ptCount val="1"/>
                <c:pt idx="0">
                  <c:v>Vykdant priemonę buvo pasiekta vertinimo kriterijų reikšmių 50 % ir daugiau</c:v>
                </c:pt>
              </c:strCache>
            </c:strRef>
          </c:tx>
          <c:spPr>
            <a:solidFill>
              <a:srgbClr val="FFC000"/>
            </a:solidFill>
            <a:ln>
              <a:noFill/>
            </a:ln>
            <a:effectLst/>
            <a:scene3d>
              <a:camera prst="orthographicFront"/>
              <a:lightRig rig="threePt" dir="t"/>
            </a:scene3d>
            <a:sp3d>
              <a:bevelT/>
            </a:sp3d>
          </c:spPr>
          <c:invertIfNegative val="0"/>
          <c:dLbls>
            <c:dLbl>
              <c:idx val="0"/>
              <c:layout>
                <c:manualLayout>
                  <c:x val="-3.5930660429711428E-17"/>
                  <c:y val="6.458951275051377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C640-401E-ADB5-D483C545D2A0}"/>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lt-LT"/>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'[1]2024 m'!$C$68:$D$68</c:f>
              <c:numCache>
                <c:formatCode>General</c:formatCode>
                <c:ptCount val="2"/>
                <c:pt idx="0">
                  <c:v>2023</c:v>
                </c:pt>
                <c:pt idx="1">
                  <c:v>2024</c:v>
                </c:pt>
              </c:numCache>
            </c:numRef>
          </c:cat>
          <c:val>
            <c:numRef>
              <c:f>'[1]2024 m'!$C$71:$D$71</c:f>
              <c:numCache>
                <c:formatCode>General</c:formatCode>
                <c:ptCount val="2"/>
                <c:pt idx="0">
                  <c:v>4</c:v>
                </c:pt>
                <c:pt idx="1">
                  <c:v>4</c:v>
                </c:pt>
              </c:numCache>
            </c:numRef>
          </c:val>
          <c:extLst>
            <c:ext xmlns:c16="http://schemas.microsoft.com/office/drawing/2014/chart" uri="{C3380CC4-5D6E-409C-BE32-E72D297353CC}">
              <c16:uniqueId val="{00000003-C640-401E-ADB5-D483C545D2A0}"/>
            </c:ext>
          </c:extLst>
        </c:ser>
        <c:ser>
          <c:idx val="3"/>
          <c:order val="3"/>
          <c:tx>
            <c:strRef>
              <c:f>'[1]2024 m'!$B$72</c:f>
              <c:strCache>
                <c:ptCount val="1"/>
                <c:pt idx="0">
                  <c:v>Vykdant priemonę buvo pasiekta daugiau vertinimo kriterijų reikšmių nei planuota</c:v>
                </c:pt>
              </c:strCache>
            </c:strRef>
          </c:tx>
          <c:spPr>
            <a:solidFill>
              <a:srgbClr val="D9E1F2"/>
            </a:solidFill>
            <a:ln>
              <a:solidFill>
                <a:schemeClr val="bg1">
                  <a:lumMod val="85000"/>
                </a:schemeClr>
              </a:solidFill>
            </a:ln>
            <a:effectLst/>
            <a:scene3d>
              <a:camera prst="orthographicFront"/>
              <a:lightRig rig="threePt" dir="t"/>
            </a:scene3d>
            <a:sp3d>
              <a:bevelT/>
            </a:sp3d>
          </c:spPr>
          <c:invertIfNegative val="0"/>
          <c:dPt>
            <c:idx val="0"/>
            <c:invertIfNegative val="0"/>
            <c:bubble3D val="0"/>
            <c:spPr>
              <a:solidFill>
                <a:schemeClr val="bg1">
                  <a:lumMod val="85000"/>
                </a:schemeClr>
              </a:solidFill>
              <a:ln>
                <a:solidFill>
                  <a:schemeClr val="bg1">
                    <a:lumMod val="85000"/>
                  </a:schemeClr>
                </a:solidFill>
              </a:ln>
              <a:effectLst/>
              <a:scene3d>
                <a:camera prst="orthographicFront"/>
                <a:lightRig rig="threePt" dir="t"/>
              </a:scene3d>
              <a:sp3d>
                <a:bevelT/>
              </a:sp3d>
            </c:spPr>
            <c:extLst>
              <c:ext xmlns:c16="http://schemas.microsoft.com/office/drawing/2014/chart" uri="{C3380CC4-5D6E-409C-BE32-E72D297353CC}">
                <c16:uniqueId val="{00000005-C640-401E-ADB5-D483C545D2A0}"/>
              </c:ext>
            </c:extLst>
          </c:dPt>
          <c:dPt>
            <c:idx val="1"/>
            <c:invertIfNegative val="0"/>
            <c:bubble3D val="0"/>
            <c:spPr>
              <a:solidFill>
                <a:schemeClr val="bg1">
                  <a:lumMod val="85000"/>
                </a:schemeClr>
              </a:solidFill>
              <a:ln>
                <a:solidFill>
                  <a:schemeClr val="bg1">
                    <a:lumMod val="85000"/>
                  </a:schemeClr>
                </a:solidFill>
              </a:ln>
              <a:effectLst/>
              <a:scene3d>
                <a:camera prst="orthographicFront"/>
                <a:lightRig rig="threePt" dir="t"/>
              </a:scene3d>
              <a:sp3d>
                <a:bevelT/>
              </a:sp3d>
            </c:spPr>
            <c:extLst>
              <c:ext xmlns:c16="http://schemas.microsoft.com/office/drawing/2014/chart" uri="{C3380CC4-5D6E-409C-BE32-E72D297353CC}">
                <c16:uniqueId val="{00000007-C640-401E-ADB5-D483C545D2A0}"/>
              </c:ext>
            </c:extLst>
          </c:dPt>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lt-LT"/>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'[1]2024 m'!$C$68:$D$68</c:f>
              <c:numCache>
                <c:formatCode>General</c:formatCode>
                <c:ptCount val="2"/>
                <c:pt idx="0">
                  <c:v>2023</c:v>
                </c:pt>
                <c:pt idx="1">
                  <c:v>2024</c:v>
                </c:pt>
              </c:numCache>
            </c:numRef>
          </c:cat>
          <c:val>
            <c:numRef>
              <c:f>'[1]2024 m'!$C$72:$D$72</c:f>
              <c:numCache>
                <c:formatCode>General</c:formatCode>
                <c:ptCount val="2"/>
                <c:pt idx="0">
                  <c:v>4</c:v>
                </c:pt>
                <c:pt idx="1">
                  <c:v>7</c:v>
                </c:pt>
              </c:numCache>
            </c:numRef>
          </c:val>
          <c:extLst>
            <c:ext xmlns:c16="http://schemas.microsoft.com/office/drawing/2014/chart" uri="{C3380CC4-5D6E-409C-BE32-E72D297353CC}">
              <c16:uniqueId val="{00000008-C640-401E-ADB5-D483C545D2A0}"/>
            </c:ext>
          </c:extLst>
        </c:ser>
        <c:ser>
          <c:idx val="4"/>
          <c:order val="4"/>
          <c:tx>
            <c:strRef>
              <c:f>'[1]2024 m'!$B$73</c:f>
              <c:strCache>
                <c:ptCount val="1"/>
                <c:pt idx="0">
                  <c:v>Priemonė neįvykdyta, t.y. nepasiekta planuota vertinimo kriterijų reikšmė</c:v>
                </c:pt>
              </c:strCache>
            </c:strRef>
          </c:tx>
          <c:spPr>
            <a:solidFill>
              <a:srgbClr val="FCE4D6"/>
            </a:solidFill>
            <a:ln>
              <a:noFill/>
            </a:ln>
            <a:effectLst/>
            <a:scene3d>
              <a:camera prst="orthographicFront"/>
              <a:lightRig rig="threePt" dir="t"/>
            </a:scene3d>
            <a:sp3d>
              <a:bevelT/>
            </a:sp3d>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lt-LT"/>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'[1]2024 m'!$C$68:$D$68</c:f>
              <c:numCache>
                <c:formatCode>General</c:formatCode>
                <c:ptCount val="2"/>
                <c:pt idx="0">
                  <c:v>2023</c:v>
                </c:pt>
                <c:pt idx="1">
                  <c:v>2024</c:v>
                </c:pt>
              </c:numCache>
            </c:numRef>
          </c:cat>
          <c:val>
            <c:numRef>
              <c:f>'[1]2024 m'!$C$73:$D$73</c:f>
              <c:numCache>
                <c:formatCode>General</c:formatCode>
                <c:ptCount val="2"/>
                <c:pt idx="0">
                  <c:v>1</c:v>
                </c:pt>
                <c:pt idx="1">
                  <c:v>1</c:v>
                </c:pt>
              </c:numCache>
            </c:numRef>
          </c:val>
          <c:extLst>
            <c:ext xmlns:c16="http://schemas.microsoft.com/office/drawing/2014/chart" uri="{C3380CC4-5D6E-409C-BE32-E72D297353CC}">
              <c16:uniqueId val="{00000009-C640-401E-ADB5-D483C545D2A0}"/>
            </c:ext>
          </c:extLst>
        </c:ser>
        <c:dLbls>
          <c:showLegendKey val="0"/>
          <c:showVal val="1"/>
          <c:showCatName val="0"/>
          <c:showSerName val="0"/>
          <c:showPercent val="0"/>
          <c:showBubbleSize val="0"/>
        </c:dLbls>
        <c:gapWidth val="150"/>
        <c:axId val="1495728303"/>
        <c:axId val="1495744527"/>
      </c:barChart>
      <c:lineChart>
        <c:grouping val="standard"/>
        <c:varyColors val="0"/>
        <c:ser>
          <c:idx val="5"/>
          <c:order val="5"/>
          <c:tx>
            <c:strRef>
              <c:f>'[1]2024 m'!$B$74</c:f>
              <c:strCache>
                <c:ptCount val="1"/>
                <c:pt idx="0">
                  <c:v>Iš viso programų priemonių</c:v>
                </c:pt>
              </c:strCache>
            </c:strRef>
          </c:tx>
          <c:spPr>
            <a:ln w="28575" cap="rnd">
              <a:solidFill>
                <a:srgbClr val="FFC000"/>
              </a:solidFill>
              <a:round/>
            </a:ln>
            <a:effectLst/>
          </c:spPr>
          <c:marker>
            <c:symbol val="circle"/>
            <c:size val="7"/>
            <c:spPr>
              <a:solidFill>
                <a:schemeClr val="accent4">
                  <a:lumMod val="60000"/>
                  <a:lumOff val="40000"/>
                </a:schemeClr>
              </a:solidFill>
              <a:ln w="9525">
                <a:solidFill>
                  <a:schemeClr val="accent4"/>
                </a:solidFill>
              </a:ln>
              <a:effectLst/>
              <a:scene3d>
                <a:camera prst="orthographicFront"/>
                <a:lightRig rig="threePt" dir="t"/>
              </a:scene3d>
              <a:sp3d>
                <a:bevelT/>
              </a:sp3d>
            </c:spPr>
          </c:marker>
          <c:dLbls>
            <c:dLbl>
              <c:idx val="0"/>
              <c:layout>
                <c:manualLayout>
                  <c:x val="-3.3317906376220154E-2"/>
                  <c:y val="-4.212359527207425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C640-401E-ADB5-D483C545D2A0}"/>
                </c:ext>
              </c:extLst>
            </c:dLbl>
            <c:dLbl>
              <c:idx val="1"/>
              <c:layout>
                <c:manualLayout>
                  <c:x val="-2.9398152684900106E-2"/>
                  <c:y val="-3.650711590246430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C640-401E-ADB5-D483C545D2A0}"/>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lt-LT"/>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'[1]2024 m'!$C$68:$D$68</c:f>
              <c:numCache>
                <c:formatCode>General</c:formatCode>
                <c:ptCount val="2"/>
                <c:pt idx="0">
                  <c:v>2023</c:v>
                </c:pt>
                <c:pt idx="1">
                  <c:v>2024</c:v>
                </c:pt>
              </c:numCache>
            </c:numRef>
          </c:cat>
          <c:val>
            <c:numRef>
              <c:f>'[1]2024 m'!$C$74:$D$74</c:f>
              <c:numCache>
                <c:formatCode>General</c:formatCode>
                <c:ptCount val="2"/>
                <c:pt idx="0">
                  <c:v>14</c:v>
                </c:pt>
                <c:pt idx="1">
                  <c:v>14</c:v>
                </c:pt>
              </c:numCache>
            </c:numRef>
          </c:val>
          <c:smooth val="0"/>
          <c:extLst>
            <c:ext xmlns:c16="http://schemas.microsoft.com/office/drawing/2014/chart" uri="{C3380CC4-5D6E-409C-BE32-E72D297353CC}">
              <c16:uniqueId val="{0000000C-C640-401E-ADB5-D483C545D2A0}"/>
            </c:ext>
          </c:extLst>
        </c:ser>
        <c:dLbls>
          <c:showLegendKey val="0"/>
          <c:showVal val="1"/>
          <c:showCatName val="0"/>
          <c:showSerName val="0"/>
          <c:showPercent val="0"/>
          <c:showBubbleSize val="0"/>
        </c:dLbls>
        <c:marker val="1"/>
        <c:smooth val="0"/>
        <c:axId val="1632945087"/>
        <c:axId val="1632942591"/>
      </c:lineChart>
      <c:catAx>
        <c:axId val="1495728303"/>
        <c:scaling>
          <c:orientation val="minMax"/>
        </c:scaling>
        <c:delete val="0"/>
        <c:axPos val="b"/>
        <c:title>
          <c:tx>
            <c:rich>
              <a:bodyPr rot="0" spcFirstLastPara="1" vertOverflow="ellipsis" vert="horz" wrap="square" anchor="ctr" anchorCtr="1"/>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r>
                  <a:rPr lang="lt-LT"/>
                  <a:t>Metai</a:t>
                </a:r>
              </a:p>
            </c:rich>
          </c:tx>
          <c:layout>
            <c:manualLayout>
              <c:xMode val="edge"/>
              <c:yMode val="edge"/>
              <c:x val="0.48600648148148146"/>
              <c:y val="0.63521180555555556"/>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lt-LT"/>
            </a:p>
          </c:txPr>
        </c:title>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lt-LT"/>
          </a:p>
        </c:txPr>
        <c:crossAx val="1495744527"/>
        <c:crosses val="autoZero"/>
        <c:auto val="1"/>
        <c:lblAlgn val="ctr"/>
        <c:lblOffset val="100"/>
        <c:noMultiLvlLbl val="0"/>
      </c:catAx>
      <c:valAx>
        <c:axId val="1495744527"/>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r>
                  <a:rPr lang="lt-LT" sz="1200"/>
                  <a:t>Progamų priemonių skaičius</a:t>
                </a:r>
              </a:p>
            </c:rich>
          </c:tx>
          <c:layout>
            <c:manualLayout>
              <c:xMode val="edge"/>
              <c:yMode val="edge"/>
              <c:x val="1.0191358024691358E-2"/>
              <c:y val="0.15776712661357695"/>
            </c:manualLayout>
          </c:layout>
          <c:overlay val="0"/>
          <c:spPr>
            <a:noFill/>
            <a:ln>
              <a:noFill/>
            </a:ln>
            <a:effectLst/>
          </c:spPr>
          <c:txPr>
            <a:bodyPr rot="-5400000" spcFirstLastPara="1" vertOverflow="ellipsis" vert="horz" wrap="square" anchor="ctr" anchorCtr="1"/>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lt-LT"/>
            </a:p>
          </c:txPr>
        </c:title>
        <c:numFmt formatCode="General"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lt-LT"/>
          </a:p>
        </c:txPr>
        <c:crossAx val="1495728303"/>
        <c:crosses val="autoZero"/>
        <c:crossBetween val="between"/>
      </c:valAx>
      <c:valAx>
        <c:axId val="1632942591"/>
        <c:scaling>
          <c:orientation val="minMax"/>
        </c:scaling>
        <c:delete val="0"/>
        <c:axPos val="r"/>
        <c:title>
          <c:tx>
            <c:rich>
              <a:bodyPr rot="-5400000" spcFirstLastPara="1" vertOverflow="ellipsis" vert="horz" wrap="square" anchor="ctr" anchorCtr="1"/>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r>
                  <a:rPr lang="lt-LT"/>
                  <a:t>Programų</a:t>
                </a:r>
                <a:r>
                  <a:rPr lang="lt-LT" baseline="0"/>
                  <a:t> priemonių skaičius</a:t>
                </a:r>
                <a:endParaRPr lang="lt-LT"/>
              </a:p>
            </c:rich>
          </c:tx>
          <c:overlay val="0"/>
          <c:spPr>
            <a:noFill/>
            <a:ln>
              <a:noFill/>
            </a:ln>
            <a:effectLst/>
          </c:spPr>
          <c:txPr>
            <a:bodyPr rot="-5400000" spcFirstLastPara="1" vertOverflow="ellipsis" vert="horz" wrap="square" anchor="ctr" anchorCtr="1"/>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lt-LT"/>
            </a:p>
          </c:txPr>
        </c:title>
        <c:numFmt formatCode="General"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lt-LT"/>
          </a:p>
        </c:txPr>
        <c:crossAx val="1632945087"/>
        <c:crosses val="max"/>
        <c:crossBetween val="between"/>
      </c:valAx>
      <c:catAx>
        <c:axId val="1632945087"/>
        <c:scaling>
          <c:orientation val="minMax"/>
        </c:scaling>
        <c:delete val="1"/>
        <c:axPos val="b"/>
        <c:numFmt formatCode="General" sourceLinked="1"/>
        <c:majorTickMark val="out"/>
        <c:minorTickMark val="none"/>
        <c:tickLblPos val="nextTo"/>
        <c:crossAx val="1632942591"/>
        <c:crosses val="autoZero"/>
        <c:auto val="1"/>
        <c:lblAlgn val="ctr"/>
        <c:lblOffset val="100"/>
        <c:noMultiLvlLbl val="0"/>
      </c:catAx>
      <c:spPr>
        <a:solidFill>
          <a:schemeClr val="bg1">
            <a:lumMod val="95000"/>
          </a:schemeClr>
        </a:solidFill>
        <a:ln>
          <a:noFill/>
        </a:ln>
        <a:effectLst/>
      </c:spPr>
    </c:plotArea>
    <c:legend>
      <c:legendPos val="b"/>
      <c:layout>
        <c:manualLayout>
          <c:xMode val="edge"/>
          <c:yMode val="edge"/>
          <c:x val="4.7813278983530709E-2"/>
          <c:y val="0.69035862768623613"/>
          <c:w val="0.92355570987654323"/>
          <c:h val="0.29560017388973925"/>
        </c:manualLayout>
      </c:layout>
      <c:overlay val="0"/>
      <c:spPr>
        <a:solidFill>
          <a:schemeClr val="bg1">
            <a:lumMod val="95000"/>
          </a:schemeClr>
        </a:solidFill>
        <a:ln>
          <a:noFill/>
        </a:ln>
        <a:effectLst/>
      </c:spPr>
      <c:txPr>
        <a:bodyPr rot="0" spcFirstLastPara="1" vertOverflow="ellipsis" vert="horz" wrap="square" anchor="ctr" anchorCtr="1"/>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lt-LT"/>
        </a:p>
      </c:txPr>
    </c:legend>
    <c:plotVisOnly val="1"/>
    <c:dispBlanksAs val="gap"/>
    <c:showDLblsOverMax val="0"/>
  </c:chart>
  <c:spPr>
    <a:solidFill>
      <a:schemeClr val="bg1">
        <a:lumMod val="85000"/>
      </a:schemeClr>
    </a:solidFill>
    <a:ln w="9525" cap="flat" cmpd="sng" algn="ctr">
      <a:solidFill>
        <a:schemeClr val="tx1">
          <a:lumMod val="15000"/>
          <a:lumOff val="85000"/>
        </a:schemeClr>
      </a:solidFill>
      <a:round/>
    </a:ln>
    <a:effectLst/>
  </c:spPr>
  <c:txPr>
    <a:bodyPr/>
    <a:lstStyle/>
    <a:p>
      <a:pPr>
        <a:defRPr sz="1200">
          <a:solidFill>
            <a:schemeClr val="tx1"/>
          </a:solidFill>
          <a:latin typeface="Times New Roman" panose="02020603050405020304" pitchFamily="18" charset="0"/>
          <a:cs typeface="Times New Roman" panose="02020603050405020304" pitchFamily="18" charset="0"/>
        </a:defRPr>
      </a:pPr>
      <a:endParaRPr lang="lt-LT"/>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a:defRPr sz="1400" b="1" i="0" u="none" strike="noStrike" kern="1200" spc="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r>
              <a:rPr lang="lt-LT" b="1">
                <a:latin typeface="Times New Roman" panose="02020603050405020304" pitchFamily="18" charset="0"/>
                <a:cs typeface="Times New Roman" panose="02020603050405020304" pitchFamily="18" charset="0"/>
              </a:rPr>
              <a:t>08 programos vykdymas</a:t>
            </a:r>
            <a:endParaRPr lang="en-US" b="1">
              <a:latin typeface="Times New Roman" panose="02020603050405020304" pitchFamily="18" charset="0"/>
              <a:cs typeface="Times New Roman" panose="02020603050405020304" pitchFamily="18" charset="0"/>
            </a:endParaRPr>
          </a:p>
        </c:rich>
      </c:tx>
      <c:layout>
        <c:manualLayout>
          <c:xMode val="edge"/>
          <c:yMode val="edge"/>
          <c:x val="0.33486259871065305"/>
          <c:y val="2.2352316310111694E-2"/>
        </c:manualLayout>
      </c:layout>
      <c:overlay val="0"/>
      <c:spPr>
        <a:noFill/>
        <a:ln>
          <a:noFill/>
        </a:ln>
        <a:effectLst/>
      </c:spPr>
      <c:txPr>
        <a:bodyPr rot="0" spcFirstLastPara="1" vertOverflow="ellipsis" vert="horz" wrap="square" anchor="ctr" anchorCtr="1"/>
        <a:lstStyle/>
        <a:p>
          <a:pPr algn="ctr">
            <a:defRPr sz="1400" b="1" i="0" u="none" strike="noStrike" kern="1200" spc="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en-US"/>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spPr>
            <a:ln w="31750"/>
            <a:scene3d>
              <a:camera prst="orthographicFront"/>
              <a:lightRig rig="threePt" dir="t"/>
            </a:scene3d>
            <a:sp3d prstMaterial="matte">
              <a:contourClr>
                <a:srgbClr val="000000"/>
              </a:contourClr>
            </a:sp3d>
          </c:spPr>
          <c:explosion val="5"/>
          <c:dPt>
            <c:idx val="0"/>
            <c:bubble3D val="0"/>
            <c:explosion val="2"/>
            <c:spPr>
              <a:solidFill>
                <a:schemeClr val="accent3">
                  <a:lumMod val="20000"/>
                  <a:lumOff val="80000"/>
                </a:schemeClr>
              </a:solidFill>
              <a:ln w="31750">
                <a:solidFill>
                  <a:schemeClr val="accent3">
                    <a:lumMod val="20000"/>
                    <a:lumOff val="80000"/>
                  </a:schemeClr>
                </a:solidFill>
              </a:ln>
              <a:effectLst/>
              <a:scene3d>
                <a:camera prst="orthographicFront"/>
                <a:lightRig rig="threePt" dir="t"/>
              </a:scene3d>
              <a:sp3d contourW="31750" prstMaterial="matte">
                <a:contourClr>
                  <a:schemeClr val="accent3">
                    <a:lumMod val="20000"/>
                    <a:lumOff val="80000"/>
                  </a:schemeClr>
                </a:contourClr>
              </a:sp3d>
            </c:spPr>
            <c:extLst>
              <c:ext xmlns:c16="http://schemas.microsoft.com/office/drawing/2014/chart" uri="{C3380CC4-5D6E-409C-BE32-E72D297353CC}">
                <c16:uniqueId val="{00000001-F696-4D13-B6B3-62B6E49978F3}"/>
              </c:ext>
            </c:extLst>
          </c:dPt>
          <c:dPt>
            <c:idx val="1"/>
            <c:bubble3D val="0"/>
            <c:spPr>
              <a:solidFill>
                <a:srgbClr val="FFCCCC"/>
              </a:solidFill>
              <a:ln w="31750">
                <a:solidFill>
                  <a:srgbClr val="FFCCCC"/>
                </a:solidFill>
              </a:ln>
              <a:effectLst/>
              <a:scene3d>
                <a:camera prst="orthographicFront"/>
                <a:lightRig rig="threePt" dir="t"/>
              </a:scene3d>
              <a:sp3d contourW="31750" prstMaterial="matte">
                <a:contourClr>
                  <a:srgbClr val="FFCCCC"/>
                </a:contourClr>
              </a:sp3d>
            </c:spPr>
            <c:extLst>
              <c:ext xmlns:c16="http://schemas.microsoft.com/office/drawing/2014/chart" uri="{C3380CC4-5D6E-409C-BE32-E72D297353CC}">
                <c16:uniqueId val="{00000003-F696-4D13-B6B3-62B6E49978F3}"/>
              </c:ext>
            </c:extLst>
          </c:dPt>
          <c:dPt>
            <c:idx val="2"/>
            <c:bubble3D val="0"/>
            <c:spPr>
              <a:solidFill>
                <a:srgbClr val="FFC000"/>
              </a:solidFill>
              <a:ln w="31750">
                <a:solidFill>
                  <a:srgbClr val="FFC000"/>
                </a:solidFill>
              </a:ln>
              <a:effectLst/>
              <a:scene3d>
                <a:camera prst="orthographicFront"/>
                <a:lightRig rig="threePt" dir="t"/>
              </a:scene3d>
              <a:sp3d contourW="31750" prstMaterial="matte">
                <a:contourClr>
                  <a:srgbClr val="FFC000"/>
                </a:contourClr>
              </a:sp3d>
            </c:spPr>
            <c:extLst>
              <c:ext xmlns:c16="http://schemas.microsoft.com/office/drawing/2014/chart" uri="{C3380CC4-5D6E-409C-BE32-E72D297353CC}">
                <c16:uniqueId val="{00000005-F696-4D13-B6B3-62B6E49978F3}"/>
              </c:ext>
            </c:extLst>
          </c:dPt>
          <c:dPt>
            <c:idx val="3"/>
            <c:bubble3D val="0"/>
            <c:spPr>
              <a:solidFill>
                <a:schemeClr val="bg1">
                  <a:lumMod val="85000"/>
                </a:schemeClr>
              </a:solidFill>
              <a:ln w="31750">
                <a:solidFill>
                  <a:schemeClr val="bg1">
                    <a:lumMod val="85000"/>
                  </a:schemeClr>
                </a:solidFill>
              </a:ln>
              <a:effectLst/>
              <a:scene3d>
                <a:camera prst="orthographicFront"/>
                <a:lightRig rig="threePt" dir="t"/>
              </a:scene3d>
              <a:sp3d contourW="31750" prstMaterial="matte">
                <a:contourClr>
                  <a:schemeClr val="bg1">
                    <a:lumMod val="85000"/>
                  </a:schemeClr>
                </a:contourClr>
              </a:sp3d>
            </c:spPr>
            <c:extLst>
              <c:ext xmlns:c16="http://schemas.microsoft.com/office/drawing/2014/chart" uri="{C3380CC4-5D6E-409C-BE32-E72D297353CC}">
                <c16:uniqueId val="{00000007-F696-4D13-B6B3-62B6E49978F3}"/>
              </c:ext>
            </c:extLst>
          </c:dPt>
          <c:dPt>
            <c:idx val="4"/>
            <c:bubble3D val="0"/>
            <c:spPr>
              <a:solidFill>
                <a:schemeClr val="accent6">
                  <a:lumMod val="20000"/>
                  <a:lumOff val="80000"/>
                </a:schemeClr>
              </a:solidFill>
              <a:ln w="31750">
                <a:solidFill>
                  <a:schemeClr val="accent6">
                    <a:lumMod val="20000"/>
                    <a:lumOff val="80000"/>
                  </a:schemeClr>
                </a:solidFill>
              </a:ln>
              <a:effectLst/>
              <a:scene3d>
                <a:camera prst="orthographicFront"/>
                <a:lightRig rig="threePt" dir="t"/>
              </a:scene3d>
              <a:sp3d contourW="31750" prstMaterial="matte">
                <a:contourClr>
                  <a:schemeClr val="accent6">
                    <a:lumMod val="20000"/>
                    <a:lumOff val="80000"/>
                  </a:schemeClr>
                </a:contourClr>
              </a:sp3d>
            </c:spPr>
            <c:extLst>
              <c:ext xmlns:c16="http://schemas.microsoft.com/office/drawing/2014/chart" uri="{C3380CC4-5D6E-409C-BE32-E72D297353CC}">
                <c16:uniqueId val="{00000009-F696-4D13-B6B3-62B6E49978F3}"/>
              </c:ext>
            </c:extLst>
          </c:dPt>
          <c:dLbls>
            <c:dLbl>
              <c:idx val="1"/>
              <c:layout>
                <c:manualLayout>
                  <c:x val="-5.8779361339796908E-2"/>
                  <c:y val="-0.16291980568066577"/>
                </c:manualLayout>
              </c:layout>
              <c:dLblPos val="bestFit"/>
              <c:showLegendKey val="0"/>
              <c:showVal val="1"/>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F696-4D13-B6B3-62B6E49978F3}"/>
                </c:ext>
              </c:extLst>
            </c:dLbl>
            <c:spPr>
              <a:noFill/>
              <a:ln>
                <a:noFill/>
              </a:ln>
              <a:effectLst/>
            </c:spPr>
            <c:txPr>
              <a:bodyPr rot="0" spcFirstLastPara="1" vertOverflow="ellipsis" vert="horz" wrap="square" lIns="38100" tIns="19050" rIns="38100" bIns="19050" anchor="ctr" anchorCtr="0">
                <a:spAutoFit/>
              </a:bodyPr>
              <a:lstStyle/>
              <a:p>
                <a:pPr>
                  <a:defRPr sz="1200" b="0" i="0" u="none" strike="noStrike" kern="1200" baseline="0">
                    <a:solidFill>
                      <a:schemeClr val="tx1">
                        <a:lumMod val="75000"/>
                        <a:lumOff val="25000"/>
                      </a:schemeClr>
                    </a:solidFill>
                    <a:latin typeface="+mn-lt"/>
                    <a:ea typeface="+mn-ea"/>
                    <a:cs typeface="+mn-cs"/>
                  </a:defRPr>
                </a:pPr>
                <a:endParaRPr lang="lt-LT"/>
              </a:p>
            </c:txPr>
            <c:dLblPos val="inEnd"/>
            <c:showLegendKey val="0"/>
            <c:showVal val="1"/>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Planas!$V$455:$V$459</c:f>
              <c:strCache>
                <c:ptCount val="5"/>
                <c:pt idx="0">
                  <c:v>Priemonė buvo įvykdyta pagal planą</c:v>
                </c:pt>
                <c:pt idx="1">
                  <c:v>Vykdant priemonę buvo pasiekta vertinimo kriterijų reikšmių mažiau nei 50 %</c:v>
                </c:pt>
                <c:pt idx="2">
                  <c:v>Vykdant priemonę buvo pasiekta vertinimo kriterijų reikšmių 50 % ir daugiau</c:v>
                </c:pt>
                <c:pt idx="3">
                  <c:v>Vykdant priemonę buvo pasiekta daugiau vertinimo kriterijų reikšmių nei planuota</c:v>
                </c:pt>
                <c:pt idx="4">
                  <c:v>Priemonė neįvykdyta, t.y. nepasiekta planuota vertinimo kriterijų reikšmė</c:v>
                </c:pt>
              </c:strCache>
            </c:strRef>
          </c:cat>
          <c:val>
            <c:numRef>
              <c:f>Planas!$W$455:$W$459</c:f>
              <c:numCache>
                <c:formatCode>General</c:formatCode>
                <c:ptCount val="5"/>
                <c:pt idx="0">
                  <c:v>18</c:v>
                </c:pt>
                <c:pt idx="1">
                  <c:v>1</c:v>
                </c:pt>
                <c:pt idx="2">
                  <c:v>14</c:v>
                </c:pt>
                <c:pt idx="3">
                  <c:v>7</c:v>
                </c:pt>
                <c:pt idx="4">
                  <c:v>6</c:v>
                </c:pt>
              </c:numCache>
            </c:numRef>
          </c:val>
          <c:extLst>
            <c:ext xmlns:c16="http://schemas.microsoft.com/office/drawing/2014/chart" uri="{C3380CC4-5D6E-409C-BE32-E72D297353CC}">
              <c16:uniqueId val="{0000000A-F696-4D13-B6B3-62B6E49978F3}"/>
            </c:ext>
          </c:extLst>
        </c:ser>
        <c:dLbls>
          <c:dLblPos val="bestFit"/>
          <c:showLegendKey val="0"/>
          <c:showVal val="1"/>
          <c:showCatName val="0"/>
          <c:showSerName val="0"/>
          <c:showPercent val="0"/>
          <c:showBubbleSize val="0"/>
          <c:showLeaderLines val="1"/>
        </c:dLbls>
      </c:pie3DChart>
      <c:spPr>
        <a:solidFill>
          <a:schemeClr val="bg1">
            <a:lumMod val="95000"/>
          </a:schemeClr>
        </a:solidFill>
        <a:ln>
          <a:noFill/>
        </a:ln>
        <a:effectLst/>
      </c:spPr>
    </c:plotArea>
    <c:legend>
      <c:legendPos val="b"/>
      <c:layout>
        <c:manualLayout>
          <c:xMode val="edge"/>
          <c:yMode val="edge"/>
          <c:x val="2.256379873216996E-2"/>
          <c:y val="0.75093203096705152"/>
          <c:w val="0.95487225100822581"/>
          <c:h val="0.23416642482620731"/>
        </c:manualLayout>
      </c:layout>
      <c:overlay val="0"/>
      <c:spPr>
        <a:solidFill>
          <a:schemeClr val="bg1">
            <a:lumMod val="95000"/>
          </a:schemeClr>
        </a:solidFill>
        <a:ln>
          <a:gradFill flip="none" rotWithShape="1">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tileRect/>
          </a:gradFill>
        </a:ln>
        <a:effectLst/>
      </c:spPr>
      <c:txPr>
        <a:bodyPr rot="0" spcFirstLastPara="1" vertOverflow="ellipsis" vert="horz" wrap="square" anchor="ctr" anchorCtr="1"/>
        <a:lstStyle/>
        <a:p>
          <a:pPr rtl="0">
            <a:defRPr sz="1200" b="0" i="0" u="none" strike="noStrike" kern="1200" baseline="0">
              <a:ln>
                <a:noFill/>
              </a:ln>
              <a:solidFill>
                <a:schemeClr val="tx1"/>
              </a:solidFill>
              <a:latin typeface="Times New Roman" panose="02020603050405020304" pitchFamily="18" charset="0"/>
              <a:ea typeface="+mn-ea"/>
              <a:cs typeface="Times New Roman" panose="02020603050405020304" pitchFamily="18" charset="0"/>
            </a:defRPr>
          </a:pPr>
          <a:endParaRPr lang="lt-LT"/>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lumMod val="85000"/>
      </a:schemeClr>
    </a:solidFill>
    <a:ln w="9525" cap="flat" cmpd="sng" algn="ctr">
      <a:solidFill>
        <a:schemeClr val="tx1">
          <a:lumMod val="15000"/>
          <a:lumOff val="85000"/>
        </a:schemeClr>
      </a:solidFill>
      <a:round/>
    </a:ln>
    <a:effectLst>
      <a:softEdge rad="0"/>
    </a:effectLst>
  </c:spPr>
  <c:txPr>
    <a:bodyPr/>
    <a:lstStyle/>
    <a:p>
      <a:pPr>
        <a:defRPr/>
      </a:pPr>
      <a:endParaRPr lang="lt-LT"/>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1" i="0" u="none" strike="noStrike" kern="1200" spc="0" baseline="0">
                <a:solidFill>
                  <a:schemeClr val="tx1"/>
                </a:solidFill>
                <a:latin typeface="Times New Roman" panose="02020603050405020304" pitchFamily="18" charset="0"/>
                <a:ea typeface="+mn-ea"/>
                <a:cs typeface="Times New Roman" panose="02020603050405020304" pitchFamily="18" charset="0"/>
              </a:defRPr>
            </a:pPr>
            <a:r>
              <a:rPr lang="lt-LT" b="1"/>
              <a:t>2024 m. 08 programos vykdymo palyginimas su 2023 m.</a:t>
            </a:r>
          </a:p>
        </c:rich>
      </c:tx>
      <c:overlay val="0"/>
      <c:spPr>
        <a:noFill/>
        <a:ln>
          <a:noFill/>
        </a:ln>
        <a:effectLst/>
      </c:spPr>
      <c:txPr>
        <a:bodyPr rot="0" spcFirstLastPara="1" vertOverflow="ellipsis" vert="horz" wrap="square" anchor="ctr" anchorCtr="1"/>
        <a:lstStyle/>
        <a:p>
          <a:pPr>
            <a:defRPr sz="1440" b="1" i="0" u="none" strike="noStrike" kern="1200" spc="0" baseline="0">
              <a:solidFill>
                <a:schemeClr val="tx1"/>
              </a:solidFill>
              <a:latin typeface="Times New Roman" panose="02020603050405020304" pitchFamily="18" charset="0"/>
              <a:ea typeface="+mn-ea"/>
              <a:cs typeface="Times New Roman" panose="02020603050405020304" pitchFamily="18" charset="0"/>
            </a:defRPr>
          </a:pPr>
          <a:endParaRPr lang="lt-LT"/>
        </a:p>
      </c:txPr>
    </c:title>
    <c:autoTitleDeleted val="0"/>
    <c:plotArea>
      <c:layout>
        <c:manualLayout>
          <c:layoutTarget val="inner"/>
          <c:xMode val="edge"/>
          <c:yMode val="edge"/>
          <c:x val="9.2114197530864195E-2"/>
          <c:y val="0.10936134259259259"/>
          <c:w val="0.81829984567901248"/>
          <c:h val="0.48786805555555546"/>
        </c:manualLayout>
      </c:layout>
      <c:barChart>
        <c:barDir val="col"/>
        <c:grouping val="clustered"/>
        <c:varyColors val="0"/>
        <c:ser>
          <c:idx val="0"/>
          <c:order val="0"/>
          <c:tx>
            <c:strRef>
              <c:f>'[1]2024 m'!$B$80</c:f>
              <c:strCache>
                <c:ptCount val="1"/>
                <c:pt idx="0">
                  <c:v>Priemonė buvo įvykdyta pagal planą</c:v>
                </c:pt>
              </c:strCache>
            </c:strRef>
          </c:tx>
          <c:spPr>
            <a:solidFill>
              <a:srgbClr val="E2EFDA"/>
            </a:solidFill>
            <a:ln>
              <a:noFill/>
            </a:ln>
            <a:effectLst/>
            <a:scene3d>
              <a:camera prst="orthographicFront"/>
              <a:lightRig rig="threePt" dir="t"/>
            </a:scene3d>
            <a:sp3d>
              <a:bevelT/>
            </a:sp3d>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lt-LT"/>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'[1]2024 m'!$C$79:$D$79</c:f>
              <c:numCache>
                <c:formatCode>General</c:formatCode>
                <c:ptCount val="2"/>
                <c:pt idx="0">
                  <c:v>2023</c:v>
                </c:pt>
                <c:pt idx="1">
                  <c:v>2024</c:v>
                </c:pt>
              </c:numCache>
            </c:numRef>
          </c:cat>
          <c:val>
            <c:numRef>
              <c:f>'[1]2024 m'!$C$80:$D$80</c:f>
              <c:numCache>
                <c:formatCode>General</c:formatCode>
                <c:ptCount val="2"/>
                <c:pt idx="0">
                  <c:v>17</c:v>
                </c:pt>
                <c:pt idx="1">
                  <c:v>18</c:v>
                </c:pt>
              </c:numCache>
            </c:numRef>
          </c:val>
          <c:extLst>
            <c:ext xmlns:c16="http://schemas.microsoft.com/office/drawing/2014/chart" uri="{C3380CC4-5D6E-409C-BE32-E72D297353CC}">
              <c16:uniqueId val="{00000000-0240-4BAA-8477-A723262D890A}"/>
            </c:ext>
          </c:extLst>
        </c:ser>
        <c:ser>
          <c:idx val="1"/>
          <c:order val="1"/>
          <c:tx>
            <c:strRef>
              <c:f>'[1]2024 m'!$B$81</c:f>
              <c:strCache>
                <c:ptCount val="1"/>
                <c:pt idx="0">
                  <c:v>Vykdant priemonę buvo pasiekta vertinimo kriterijų reikšmių mažiau nei 50 %</c:v>
                </c:pt>
              </c:strCache>
            </c:strRef>
          </c:tx>
          <c:spPr>
            <a:solidFill>
              <a:srgbClr val="FFFFCC"/>
            </a:solidFill>
            <a:ln>
              <a:solidFill>
                <a:srgbClr val="FFCCCC"/>
              </a:solidFill>
            </a:ln>
            <a:effectLst/>
            <a:scene3d>
              <a:camera prst="orthographicFront"/>
              <a:lightRig rig="threePt" dir="t"/>
            </a:scene3d>
            <a:sp3d>
              <a:bevelT/>
            </a:sp3d>
          </c:spPr>
          <c:invertIfNegative val="0"/>
          <c:dPt>
            <c:idx val="0"/>
            <c:invertIfNegative val="0"/>
            <c:bubble3D val="0"/>
            <c:spPr>
              <a:solidFill>
                <a:srgbClr val="FFCCCC"/>
              </a:solidFill>
              <a:ln>
                <a:solidFill>
                  <a:srgbClr val="FFCCCC"/>
                </a:solidFill>
              </a:ln>
              <a:effectLst/>
              <a:scene3d>
                <a:camera prst="orthographicFront"/>
                <a:lightRig rig="threePt" dir="t"/>
              </a:scene3d>
              <a:sp3d>
                <a:bevelT/>
              </a:sp3d>
            </c:spPr>
            <c:extLst>
              <c:ext xmlns:c16="http://schemas.microsoft.com/office/drawing/2014/chart" uri="{C3380CC4-5D6E-409C-BE32-E72D297353CC}">
                <c16:uniqueId val="{00000002-0240-4BAA-8477-A723262D890A}"/>
              </c:ext>
            </c:extLst>
          </c:dPt>
          <c:dPt>
            <c:idx val="1"/>
            <c:invertIfNegative val="0"/>
            <c:bubble3D val="0"/>
            <c:spPr>
              <a:solidFill>
                <a:srgbClr val="FFCCCC"/>
              </a:solidFill>
              <a:ln>
                <a:solidFill>
                  <a:srgbClr val="FFCCCC"/>
                </a:solidFill>
              </a:ln>
              <a:effectLst/>
              <a:scene3d>
                <a:camera prst="orthographicFront"/>
                <a:lightRig rig="threePt" dir="t"/>
              </a:scene3d>
              <a:sp3d>
                <a:bevelT/>
              </a:sp3d>
            </c:spPr>
            <c:extLst>
              <c:ext xmlns:c16="http://schemas.microsoft.com/office/drawing/2014/chart" uri="{C3380CC4-5D6E-409C-BE32-E72D297353CC}">
                <c16:uniqueId val="{00000004-0240-4BAA-8477-A723262D890A}"/>
              </c:ext>
            </c:extLst>
          </c:dPt>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lt-LT"/>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'[1]2024 m'!$C$79:$D$79</c:f>
              <c:numCache>
                <c:formatCode>General</c:formatCode>
                <c:ptCount val="2"/>
                <c:pt idx="0">
                  <c:v>2023</c:v>
                </c:pt>
                <c:pt idx="1">
                  <c:v>2024</c:v>
                </c:pt>
              </c:numCache>
            </c:numRef>
          </c:cat>
          <c:val>
            <c:numRef>
              <c:f>'[1]2024 m'!$C$81:$D$81</c:f>
              <c:numCache>
                <c:formatCode>General</c:formatCode>
                <c:ptCount val="2"/>
                <c:pt idx="0">
                  <c:v>3</c:v>
                </c:pt>
                <c:pt idx="1">
                  <c:v>1</c:v>
                </c:pt>
              </c:numCache>
            </c:numRef>
          </c:val>
          <c:extLst>
            <c:ext xmlns:c16="http://schemas.microsoft.com/office/drawing/2014/chart" uri="{C3380CC4-5D6E-409C-BE32-E72D297353CC}">
              <c16:uniqueId val="{00000005-0240-4BAA-8477-A723262D890A}"/>
            </c:ext>
          </c:extLst>
        </c:ser>
        <c:ser>
          <c:idx val="2"/>
          <c:order val="2"/>
          <c:tx>
            <c:strRef>
              <c:f>'[1]2024 m'!$B$82</c:f>
              <c:strCache>
                <c:ptCount val="1"/>
                <c:pt idx="0">
                  <c:v>Vykdant priemonę buvo pasiekta vertinimo kriterijų reikšmių 50 % ir daugiau</c:v>
                </c:pt>
              </c:strCache>
            </c:strRef>
          </c:tx>
          <c:spPr>
            <a:solidFill>
              <a:srgbClr val="FFC000"/>
            </a:solidFill>
            <a:ln>
              <a:noFill/>
            </a:ln>
            <a:effectLst/>
            <a:scene3d>
              <a:camera prst="orthographicFront"/>
              <a:lightRig rig="threePt" dir="t"/>
            </a:scene3d>
            <a:sp3d>
              <a:bevelT/>
            </a:sp3d>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lt-LT"/>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'[1]2024 m'!$C$79:$D$79</c:f>
              <c:numCache>
                <c:formatCode>General</c:formatCode>
                <c:ptCount val="2"/>
                <c:pt idx="0">
                  <c:v>2023</c:v>
                </c:pt>
                <c:pt idx="1">
                  <c:v>2024</c:v>
                </c:pt>
              </c:numCache>
            </c:numRef>
          </c:cat>
          <c:val>
            <c:numRef>
              <c:f>'[1]2024 m'!$C$82:$D$82</c:f>
              <c:numCache>
                <c:formatCode>General</c:formatCode>
                <c:ptCount val="2"/>
                <c:pt idx="0">
                  <c:v>10</c:v>
                </c:pt>
                <c:pt idx="1">
                  <c:v>14</c:v>
                </c:pt>
              </c:numCache>
            </c:numRef>
          </c:val>
          <c:extLst>
            <c:ext xmlns:c16="http://schemas.microsoft.com/office/drawing/2014/chart" uri="{C3380CC4-5D6E-409C-BE32-E72D297353CC}">
              <c16:uniqueId val="{00000006-0240-4BAA-8477-A723262D890A}"/>
            </c:ext>
          </c:extLst>
        </c:ser>
        <c:ser>
          <c:idx val="3"/>
          <c:order val="3"/>
          <c:tx>
            <c:strRef>
              <c:f>'[1]2024 m'!$B$83</c:f>
              <c:strCache>
                <c:ptCount val="1"/>
                <c:pt idx="0">
                  <c:v>Vykdant priemonę buvo pasiekta daugiau vertinimo kriterijų reikšmių nei planuota</c:v>
                </c:pt>
              </c:strCache>
            </c:strRef>
          </c:tx>
          <c:spPr>
            <a:solidFill>
              <a:srgbClr val="D9E1F2"/>
            </a:solidFill>
            <a:ln>
              <a:solidFill>
                <a:schemeClr val="bg1">
                  <a:lumMod val="85000"/>
                </a:schemeClr>
              </a:solidFill>
            </a:ln>
            <a:effectLst/>
            <a:scene3d>
              <a:camera prst="orthographicFront"/>
              <a:lightRig rig="threePt" dir="t"/>
            </a:scene3d>
            <a:sp3d>
              <a:bevelT/>
            </a:sp3d>
          </c:spPr>
          <c:invertIfNegative val="0"/>
          <c:dPt>
            <c:idx val="0"/>
            <c:invertIfNegative val="0"/>
            <c:bubble3D val="0"/>
            <c:spPr>
              <a:solidFill>
                <a:schemeClr val="bg1">
                  <a:lumMod val="85000"/>
                </a:schemeClr>
              </a:solidFill>
              <a:ln>
                <a:solidFill>
                  <a:schemeClr val="bg1">
                    <a:lumMod val="85000"/>
                  </a:schemeClr>
                </a:solidFill>
              </a:ln>
              <a:effectLst/>
              <a:scene3d>
                <a:camera prst="orthographicFront"/>
                <a:lightRig rig="threePt" dir="t"/>
              </a:scene3d>
              <a:sp3d>
                <a:bevelT/>
              </a:sp3d>
            </c:spPr>
            <c:extLst>
              <c:ext xmlns:c16="http://schemas.microsoft.com/office/drawing/2014/chart" uri="{C3380CC4-5D6E-409C-BE32-E72D297353CC}">
                <c16:uniqueId val="{00000008-0240-4BAA-8477-A723262D890A}"/>
              </c:ext>
            </c:extLst>
          </c:dPt>
          <c:dPt>
            <c:idx val="1"/>
            <c:invertIfNegative val="0"/>
            <c:bubble3D val="0"/>
            <c:spPr>
              <a:solidFill>
                <a:schemeClr val="bg1">
                  <a:lumMod val="85000"/>
                </a:schemeClr>
              </a:solidFill>
              <a:ln>
                <a:solidFill>
                  <a:schemeClr val="bg1">
                    <a:lumMod val="85000"/>
                  </a:schemeClr>
                </a:solidFill>
              </a:ln>
              <a:effectLst/>
              <a:scene3d>
                <a:camera prst="orthographicFront"/>
                <a:lightRig rig="threePt" dir="t"/>
              </a:scene3d>
              <a:sp3d>
                <a:bevelT/>
              </a:sp3d>
            </c:spPr>
            <c:extLst>
              <c:ext xmlns:c16="http://schemas.microsoft.com/office/drawing/2014/chart" uri="{C3380CC4-5D6E-409C-BE32-E72D297353CC}">
                <c16:uniqueId val="{0000000A-0240-4BAA-8477-A723262D890A}"/>
              </c:ext>
            </c:extLst>
          </c:dPt>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lt-LT"/>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'[1]2024 m'!$C$79:$D$79</c:f>
              <c:numCache>
                <c:formatCode>General</c:formatCode>
                <c:ptCount val="2"/>
                <c:pt idx="0">
                  <c:v>2023</c:v>
                </c:pt>
                <c:pt idx="1">
                  <c:v>2024</c:v>
                </c:pt>
              </c:numCache>
            </c:numRef>
          </c:cat>
          <c:val>
            <c:numRef>
              <c:f>'[1]2024 m'!$C$83:$D$83</c:f>
              <c:numCache>
                <c:formatCode>General</c:formatCode>
                <c:ptCount val="2"/>
                <c:pt idx="0">
                  <c:v>7</c:v>
                </c:pt>
                <c:pt idx="1">
                  <c:v>7</c:v>
                </c:pt>
              </c:numCache>
            </c:numRef>
          </c:val>
          <c:extLst>
            <c:ext xmlns:c16="http://schemas.microsoft.com/office/drawing/2014/chart" uri="{C3380CC4-5D6E-409C-BE32-E72D297353CC}">
              <c16:uniqueId val="{0000000B-0240-4BAA-8477-A723262D890A}"/>
            </c:ext>
          </c:extLst>
        </c:ser>
        <c:ser>
          <c:idx val="4"/>
          <c:order val="4"/>
          <c:tx>
            <c:strRef>
              <c:f>'[1]2024 m'!$B$84</c:f>
              <c:strCache>
                <c:ptCount val="1"/>
                <c:pt idx="0">
                  <c:v>Priemonė neįvykdyta, t.y. nepasiekta planuota vertinimo kriterijų reikšmė</c:v>
                </c:pt>
              </c:strCache>
            </c:strRef>
          </c:tx>
          <c:spPr>
            <a:solidFill>
              <a:srgbClr val="FCE4D6"/>
            </a:solidFill>
            <a:ln>
              <a:noFill/>
            </a:ln>
            <a:effectLst/>
            <a:scene3d>
              <a:camera prst="orthographicFront"/>
              <a:lightRig rig="threePt" dir="t"/>
            </a:scene3d>
            <a:sp3d>
              <a:bevelT/>
            </a:sp3d>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lt-LT"/>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'[1]2024 m'!$C$79:$D$79</c:f>
              <c:numCache>
                <c:formatCode>General</c:formatCode>
                <c:ptCount val="2"/>
                <c:pt idx="0">
                  <c:v>2023</c:v>
                </c:pt>
                <c:pt idx="1">
                  <c:v>2024</c:v>
                </c:pt>
              </c:numCache>
            </c:numRef>
          </c:cat>
          <c:val>
            <c:numRef>
              <c:f>'[1]2024 m'!$C$84:$D$84</c:f>
              <c:numCache>
                <c:formatCode>General</c:formatCode>
                <c:ptCount val="2"/>
                <c:pt idx="0">
                  <c:v>1</c:v>
                </c:pt>
                <c:pt idx="1">
                  <c:v>6</c:v>
                </c:pt>
              </c:numCache>
            </c:numRef>
          </c:val>
          <c:extLst>
            <c:ext xmlns:c16="http://schemas.microsoft.com/office/drawing/2014/chart" uri="{C3380CC4-5D6E-409C-BE32-E72D297353CC}">
              <c16:uniqueId val="{0000000C-0240-4BAA-8477-A723262D890A}"/>
            </c:ext>
          </c:extLst>
        </c:ser>
        <c:dLbls>
          <c:showLegendKey val="0"/>
          <c:showVal val="1"/>
          <c:showCatName val="0"/>
          <c:showSerName val="0"/>
          <c:showPercent val="0"/>
          <c:showBubbleSize val="0"/>
        </c:dLbls>
        <c:gapWidth val="150"/>
        <c:axId val="1495728303"/>
        <c:axId val="1495744527"/>
      </c:barChart>
      <c:lineChart>
        <c:grouping val="standard"/>
        <c:varyColors val="0"/>
        <c:ser>
          <c:idx val="5"/>
          <c:order val="5"/>
          <c:tx>
            <c:strRef>
              <c:f>'[1]2024 m'!$B$85</c:f>
              <c:strCache>
                <c:ptCount val="1"/>
                <c:pt idx="0">
                  <c:v>Iš viso programų priemonių</c:v>
                </c:pt>
              </c:strCache>
            </c:strRef>
          </c:tx>
          <c:spPr>
            <a:ln w="28575" cap="rnd">
              <a:solidFill>
                <a:srgbClr val="FFC000"/>
              </a:solidFill>
              <a:round/>
            </a:ln>
            <a:effectLst/>
          </c:spPr>
          <c:marker>
            <c:symbol val="circle"/>
            <c:size val="7"/>
            <c:spPr>
              <a:solidFill>
                <a:schemeClr val="accent4">
                  <a:lumMod val="60000"/>
                  <a:lumOff val="40000"/>
                </a:schemeClr>
              </a:solidFill>
              <a:ln w="9525">
                <a:solidFill>
                  <a:schemeClr val="accent4"/>
                </a:solidFill>
              </a:ln>
              <a:effectLst/>
              <a:scene3d>
                <a:camera prst="orthographicFront"/>
                <a:lightRig rig="threePt" dir="t"/>
              </a:scene3d>
              <a:sp3d>
                <a:bevelT/>
              </a:sp3d>
            </c:spPr>
          </c:marker>
          <c:dLbls>
            <c:dLbl>
              <c:idx val="0"/>
              <c:layout>
                <c:manualLayout>
                  <c:x val="-5.8796305369800246E-2"/>
                  <c:y val="-1.404119842402478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0240-4BAA-8477-A723262D890A}"/>
                </c:ext>
              </c:extLst>
            </c:dLbl>
            <c:dLbl>
              <c:idx val="1"/>
              <c:layout>
                <c:manualLayout>
                  <c:x val="-5.8796305369801646E-3"/>
                  <c:y val="-2.80823968480494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0240-4BAA-8477-A723262D890A}"/>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lt-LT"/>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'[1]2024 m'!$C$79:$D$79</c:f>
              <c:numCache>
                <c:formatCode>General</c:formatCode>
                <c:ptCount val="2"/>
                <c:pt idx="0">
                  <c:v>2023</c:v>
                </c:pt>
                <c:pt idx="1">
                  <c:v>2024</c:v>
                </c:pt>
              </c:numCache>
            </c:numRef>
          </c:cat>
          <c:val>
            <c:numRef>
              <c:f>'[1]2024 m'!$C$85:$D$85</c:f>
              <c:numCache>
                <c:formatCode>General</c:formatCode>
                <c:ptCount val="2"/>
                <c:pt idx="0">
                  <c:v>38</c:v>
                </c:pt>
                <c:pt idx="1">
                  <c:v>46</c:v>
                </c:pt>
              </c:numCache>
            </c:numRef>
          </c:val>
          <c:smooth val="0"/>
          <c:extLst>
            <c:ext xmlns:c16="http://schemas.microsoft.com/office/drawing/2014/chart" uri="{C3380CC4-5D6E-409C-BE32-E72D297353CC}">
              <c16:uniqueId val="{0000000F-0240-4BAA-8477-A723262D890A}"/>
            </c:ext>
          </c:extLst>
        </c:ser>
        <c:dLbls>
          <c:showLegendKey val="0"/>
          <c:showVal val="1"/>
          <c:showCatName val="0"/>
          <c:showSerName val="0"/>
          <c:showPercent val="0"/>
          <c:showBubbleSize val="0"/>
        </c:dLbls>
        <c:marker val="1"/>
        <c:smooth val="0"/>
        <c:axId val="1632945087"/>
        <c:axId val="1632942591"/>
      </c:lineChart>
      <c:catAx>
        <c:axId val="1495728303"/>
        <c:scaling>
          <c:orientation val="minMax"/>
        </c:scaling>
        <c:delete val="0"/>
        <c:axPos val="b"/>
        <c:title>
          <c:tx>
            <c:rich>
              <a:bodyPr rot="0" spcFirstLastPara="1" vertOverflow="ellipsis" vert="horz" wrap="square" anchor="ctr" anchorCtr="1"/>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r>
                  <a:rPr lang="lt-LT"/>
                  <a:t>Metai</a:t>
                </a:r>
              </a:p>
            </c:rich>
          </c:tx>
          <c:layout>
            <c:manualLayout>
              <c:xMode val="edge"/>
              <c:yMode val="edge"/>
              <c:x val="0.48600648148148146"/>
              <c:y val="0.63521180555555556"/>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lt-LT"/>
            </a:p>
          </c:txPr>
        </c:title>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lt-LT"/>
          </a:p>
        </c:txPr>
        <c:crossAx val="1495744527"/>
        <c:crosses val="autoZero"/>
        <c:auto val="1"/>
        <c:lblAlgn val="ctr"/>
        <c:lblOffset val="100"/>
        <c:noMultiLvlLbl val="0"/>
      </c:catAx>
      <c:valAx>
        <c:axId val="1495744527"/>
        <c:scaling>
          <c:orientation val="minMax"/>
        </c:scaling>
        <c:delete val="0"/>
        <c:axPos val="l"/>
        <c:majorGridlines>
          <c:spPr>
            <a:ln w="9525" cap="flat" cmpd="sng" algn="ctr">
              <a:solidFill>
                <a:schemeClr val="tx1">
                  <a:lumMod val="15000"/>
                  <a:lumOff val="85000"/>
                </a:schemeClr>
              </a:solidFill>
              <a:round/>
            </a:ln>
            <a:effectLst>
              <a:softEdge rad="12700"/>
            </a:effectLst>
          </c:spPr>
        </c:majorGridlines>
        <c:title>
          <c:tx>
            <c:rich>
              <a:bodyPr rot="-5400000" spcFirstLastPara="1" vertOverflow="ellipsis" vert="horz" wrap="square" anchor="ctr" anchorCtr="1"/>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r>
                  <a:rPr lang="lt-LT" sz="1200"/>
                  <a:t>Progamų priemonių skaičius</a:t>
                </a:r>
              </a:p>
            </c:rich>
          </c:tx>
          <c:layout>
            <c:manualLayout>
              <c:xMode val="edge"/>
              <c:yMode val="edge"/>
              <c:x val="1.0191358024691358E-2"/>
              <c:y val="0.15776712661357695"/>
            </c:manualLayout>
          </c:layout>
          <c:overlay val="0"/>
          <c:spPr>
            <a:noFill/>
            <a:ln>
              <a:noFill/>
            </a:ln>
            <a:effectLst/>
          </c:spPr>
          <c:txPr>
            <a:bodyPr rot="-5400000" spcFirstLastPara="1" vertOverflow="ellipsis" vert="horz" wrap="square" anchor="ctr" anchorCtr="1"/>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lt-LT"/>
            </a:p>
          </c:txPr>
        </c:title>
        <c:numFmt formatCode="General"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lt-LT"/>
          </a:p>
        </c:txPr>
        <c:crossAx val="1495728303"/>
        <c:crosses val="autoZero"/>
        <c:crossBetween val="between"/>
      </c:valAx>
      <c:valAx>
        <c:axId val="1632942591"/>
        <c:scaling>
          <c:orientation val="minMax"/>
        </c:scaling>
        <c:delete val="0"/>
        <c:axPos val="r"/>
        <c:title>
          <c:tx>
            <c:rich>
              <a:bodyPr rot="-5400000" spcFirstLastPara="1" vertOverflow="ellipsis" vert="horz" wrap="square" anchor="ctr" anchorCtr="1"/>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r>
                  <a:rPr lang="lt-LT"/>
                  <a:t>Programų</a:t>
                </a:r>
                <a:r>
                  <a:rPr lang="lt-LT" baseline="0"/>
                  <a:t> priemonių skaičius</a:t>
                </a:r>
                <a:endParaRPr lang="lt-LT"/>
              </a:p>
            </c:rich>
          </c:tx>
          <c:overlay val="0"/>
          <c:spPr>
            <a:noFill/>
            <a:ln>
              <a:noFill/>
            </a:ln>
            <a:effectLst/>
          </c:spPr>
          <c:txPr>
            <a:bodyPr rot="-5400000" spcFirstLastPara="1" vertOverflow="ellipsis" vert="horz" wrap="square" anchor="ctr" anchorCtr="1"/>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lt-LT"/>
            </a:p>
          </c:txPr>
        </c:title>
        <c:numFmt formatCode="General"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lt-LT"/>
          </a:p>
        </c:txPr>
        <c:crossAx val="1632945087"/>
        <c:crosses val="max"/>
        <c:crossBetween val="between"/>
      </c:valAx>
      <c:catAx>
        <c:axId val="1632945087"/>
        <c:scaling>
          <c:orientation val="minMax"/>
        </c:scaling>
        <c:delete val="1"/>
        <c:axPos val="b"/>
        <c:numFmt formatCode="General" sourceLinked="1"/>
        <c:majorTickMark val="out"/>
        <c:minorTickMark val="none"/>
        <c:tickLblPos val="nextTo"/>
        <c:crossAx val="1632942591"/>
        <c:crosses val="autoZero"/>
        <c:auto val="1"/>
        <c:lblAlgn val="ctr"/>
        <c:lblOffset val="100"/>
        <c:noMultiLvlLbl val="0"/>
      </c:catAx>
      <c:spPr>
        <a:solidFill>
          <a:schemeClr val="bg1">
            <a:lumMod val="95000"/>
          </a:schemeClr>
        </a:solidFill>
        <a:ln>
          <a:noFill/>
        </a:ln>
        <a:effectLst/>
      </c:spPr>
    </c:plotArea>
    <c:legend>
      <c:legendPos val="b"/>
      <c:layout>
        <c:manualLayout>
          <c:xMode val="edge"/>
          <c:yMode val="edge"/>
          <c:x val="4.5853402137870689E-2"/>
          <c:y val="0.69316686737104105"/>
          <c:w val="0.92355570987654323"/>
          <c:h val="0.29560017388973925"/>
        </c:manualLayout>
      </c:layout>
      <c:overlay val="0"/>
      <c:spPr>
        <a:solidFill>
          <a:schemeClr val="bg1">
            <a:lumMod val="95000"/>
          </a:schemeClr>
        </a:solidFill>
        <a:ln>
          <a:noFill/>
        </a:ln>
        <a:effectLst/>
      </c:spPr>
      <c:txPr>
        <a:bodyPr rot="0" spcFirstLastPara="1" vertOverflow="ellipsis" vert="horz" wrap="square" anchor="ctr" anchorCtr="1"/>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lt-LT"/>
        </a:p>
      </c:txPr>
    </c:legend>
    <c:plotVisOnly val="1"/>
    <c:dispBlanksAs val="gap"/>
    <c:showDLblsOverMax val="0"/>
  </c:chart>
  <c:spPr>
    <a:solidFill>
      <a:schemeClr val="bg1">
        <a:lumMod val="85000"/>
      </a:schemeClr>
    </a:solidFill>
    <a:ln w="9525" cap="flat" cmpd="sng" algn="ctr">
      <a:solidFill>
        <a:schemeClr val="tx1">
          <a:lumMod val="15000"/>
          <a:lumOff val="85000"/>
        </a:schemeClr>
      </a:solidFill>
      <a:round/>
    </a:ln>
    <a:effectLst/>
  </c:spPr>
  <c:txPr>
    <a:bodyPr/>
    <a:lstStyle/>
    <a:p>
      <a:pPr>
        <a:defRPr sz="1200">
          <a:solidFill>
            <a:schemeClr val="tx1"/>
          </a:solidFill>
          <a:latin typeface="Times New Roman" panose="02020603050405020304" pitchFamily="18" charset="0"/>
          <a:cs typeface="Times New Roman" panose="02020603050405020304" pitchFamily="18" charset="0"/>
        </a:defRPr>
      </a:pPr>
      <a:endParaRPr lang="lt-LT"/>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a:defRPr sz="1400" b="1" i="0" u="none" strike="noStrike" kern="1200" spc="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r>
              <a:rPr lang="lt-LT" b="1">
                <a:latin typeface="Times New Roman" panose="02020603050405020304" pitchFamily="18" charset="0"/>
                <a:cs typeface="Times New Roman" panose="02020603050405020304" pitchFamily="18" charset="0"/>
              </a:rPr>
              <a:t>09 programos vykdymas</a:t>
            </a:r>
            <a:endParaRPr lang="en-US" b="1">
              <a:latin typeface="Times New Roman" panose="02020603050405020304" pitchFamily="18" charset="0"/>
              <a:cs typeface="Times New Roman" panose="02020603050405020304" pitchFamily="18" charset="0"/>
            </a:endParaRPr>
          </a:p>
        </c:rich>
      </c:tx>
      <c:layout>
        <c:manualLayout>
          <c:xMode val="edge"/>
          <c:yMode val="edge"/>
          <c:x val="0.33486259871065305"/>
          <c:y val="2.2352316310111694E-2"/>
        </c:manualLayout>
      </c:layout>
      <c:overlay val="0"/>
      <c:spPr>
        <a:noFill/>
        <a:ln>
          <a:noFill/>
        </a:ln>
        <a:effectLst/>
      </c:spPr>
      <c:txPr>
        <a:bodyPr rot="0" spcFirstLastPara="1" vertOverflow="ellipsis" vert="horz" wrap="square" anchor="ctr" anchorCtr="1"/>
        <a:lstStyle/>
        <a:p>
          <a:pPr algn="ctr">
            <a:defRPr sz="1400" b="1" i="0" u="none" strike="noStrike" kern="1200" spc="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en-US"/>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spPr>
            <a:ln w="31750"/>
            <a:scene3d>
              <a:camera prst="orthographicFront"/>
              <a:lightRig rig="threePt" dir="t"/>
            </a:scene3d>
            <a:sp3d prstMaterial="matte">
              <a:contourClr>
                <a:srgbClr val="000000"/>
              </a:contourClr>
            </a:sp3d>
          </c:spPr>
          <c:explosion val="3"/>
          <c:dPt>
            <c:idx val="0"/>
            <c:bubble3D val="0"/>
            <c:spPr>
              <a:solidFill>
                <a:schemeClr val="accent3">
                  <a:lumMod val="20000"/>
                  <a:lumOff val="80000"/>
                </a:schemeClr>
              </a:solidFill>
              <a:ln w="31750">
                <a:solidFill>
                  <a:schemeClr val="accent3">
                    <a:lumMod val="20000"/>
                    <a:lumOff val="80000"/>
                  </a:schemeClr>
                </a:solidFill>
              </a:ln>
              <a:effectLst/>
              <a:scene3d>
                <a:camera prst="orthographicFront"/>
                <a:lightRig rig="threePt" dir="t"/>
              </a:scene3d>
              <a:sp3d contourW="31750" prstMaterial="matte">
                <a:contourClr>
                  <a:schemeClr val="accent3">
                    <a:lumMod val="20000"/>
                    <a:lumOff val="80000"/>
                  </a:schemeClr>
                </a:contourClr>
              </a:sp3d>
            </c:spPr>
            <c:extLst>
              <c:ext xmlns:c16="http://schemas.microsoft.com/office/drawing/2014/chart" uri="{C3380CC4-5D6E-409C-BE32-E72D297353CC}">
                <c16:uniqueId val="{00000001-D29E-4B73-81F9-CA1BA4C54EF1}"/>
              </c:ext>
            </c:extLst>
          </c:dPt>
          <c:dPt>
            <c:idx val="1"/>
            <c:bubble3D val="0"/>
            <c:spPr>
              <a:solidFill>
                <a:srgbClr val="FFCCCC"/>
              </a:solidFill>
              <a:ln w="31750">
                <a:solidFill>
                  <a:srgbClr val="FFCCCC"/>
                </a:solidFill>
              </a:ln>
              <a:effectLst/>
              <a:scene3d>
                <a:camera prst="orthographicFront"/>
                <a:lightRig rig="threePt" dir="t"/>
              </a:scene3d>
              <a:sp3d contourW="31750" prstMaterial="matte">
                <a:contourClr>
                  <a:srgbClr val="FFCCCC"/>
                </a:contourClr>
              </a:sp3d>
            </c:spPr>
            <c:extLst>
              <c:ext xmlns:c16="http://schemas.microsoft.com/office/drawing/2014/chart" uri="{C3380CC4-5D6E-409C-BE32-E72D297353CC}">
                <c16:uniqueId val="{00000003-D29E-4B73-81F9-CA1BA4C54EF1}"/>
              </c:ext>
            </c:extLst>
          </c:dPt>
          <c:dPt>
            <c:idx val="2"/>
            <c:bubble3D val="0"/>
            <c:spPr>
              <a:solidFill>
                <a:srgbClr val="FFC000"/>
              </a:solidFill>
              <a:ln w="31750">
                <a:solidFill>
                  <a:srgbClr val="FFC000"/>
                </a:solidFill>
              </a:ln>
              <a:effectLst/>
              <a:scene3d>
                <a:camera prst="orthographicFront"/>
                <a:lightRig rig="threePt" dir="t"/>
              </a:scene3d>
              <a:sp3d contourW="31750" prstMaterial="matte">
                <a:contourClr>
                  <a:srgbClr val="FFC000"/>
                </a:contourClr>
              </a:sp3d>
            </c:spPr>
            <c:extLst>
              <c:ext xmlns:c16="http://schemas.microsoft.com/office/drawing/2014/chart" uri="{C3380CC4-5D6E-409C-BE32-E72D297353CC}">
                <c16:uniqueId val="{00000005-D29E-4B73-81F9-CA1BA4C54EF1}"/>
              </c:ext>
            </c:extLst>
          </c:dPt>
          <c:dPt>
            <c:idx val="3"/>
            <c:bubble3D val="0"/>
            <c:spPr>
              <a:solidFill>
                <a:schemeClr val="bg1">
                  <a:lumMod val="85000"/>
                </a:schemeClr>
              </a:solidFill>
              <a:ln w="31750">
                <a:solidFill>
                  <a:schemeClr val="bg1">
                    <a:lumMod val="85000"/>
                  </a:schemeClr>
                </a:solidFill>
              </a:ln>
              <a:effectLst/>
              <a:scene3d>
                <a:camera prst="orthographicFront"/>
                <a:lightRig rig="threePt" dir="t"/>
              </a:scene3d>
              <a:sp3d contourW="31750" prstMaterial="matte">
                <a:contourClr>
                  <a:schemeClr val="bg1">
                    <a:lumMod val="85000"/>
                  </a:schemeClr>
                </a:contourClr>
              </a:sp3d>
            </c:spPr>
            <c:extLst>
              <c:ext xmlns:c16="http://schemas.microsoft.com/office/drawing/2014/chart" uri="{C3380CC4-5D6E-409C-BE32-E72D297353CC}">
                <c16:uniqueId val="{00000007-D29E-4B73-81F9-CA1BA4C54EF1}"/>
              </c:ext>
            </c:extLst>
          </c:dPt>
          <c:dPt>
            <c:idx val="4"/>
            <c:bubble3D val="0"/>
            <c:spPr>
              <a:solidFill>
                <a:schemeClr val="accent6">
                  <a:lumMod val="20000"/>
                  <a:lumOff val="80000"/>
                </a:schemeClr>
              </a:solidFill>
              <a:ln w="31750">
                <a:solidFill>
                  <a:schemeClr val="accent6">
                    <a:lumMod val="20000"/>
                    <a:lumOff val="80000"/>
                  </a:schemeClr>
                </a:solidFill>
              </a:ln>
              <a:effectLst/>
              <a:scene3d>
                <a:camera prst="orthographicFront"/>
                <a:lightRig rig="threePt" dir="t"/>
              </a:scene3d>
              <a:sp3d contourW="31750" prstMaterial="matte">
                <a:contourClr>
                  <a:schemeClr val="accent6">
                    <a:lumMod val="20000"/>
                    <a:lumOff val="80000"/>
                  </a:schemeClr>
                </a:contourClr>
              </a:sp3d>
            </c:spPr>
            <c:extLst>
              <c:ext xmlns:c16="http://schemas.microsoft.com/office/drawing/2014/chart" uri="{C3380CC4-5D6E-409C-BE32-E72D297353CC}">
                <c16:uniqueId val="{00000009-D29E-4B73-81F9-CA1BA4C54EF1}"/>
              </c:ext>
            </c:extLst>
          </c:dPt>
          <c:dLbls>
            <c:dLbl>
              <c:idx val="1"/>
              <c:layout>
                <c:manualLayout>
                  <c:x val="-5.8779361339796908E-2"/>
                  <c:y val="-0.16291980568066577"/>
                </c:manualLayout>
              </c:layout>
              <c:dLblPos val="bestFit"/>
              <c:showLegendKey val="0"/>
              <c:showVal val="1"/>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D29E-4B73-81F9-CA1BA4C54EF1}"/>
                </c:ext>
              </c:extLst>
            </c:dLbl>
            <c:spPr>
              <a:noFill/>
              <a:ln>
                <a:noFill/>
              </a:ln>
              <a:effectLst/>
            </c:spPr>
            <c:txPr>
              <a:bodyPr rot="0" spcFirstLastPara="1" vertOverflow="ellipsis" vert="horz" wrap="square" lIns="38100" tIns="19050" rIns="38100" bIns="19050" anchor="ctr" anchorCtr="0">
                <a:spAutoFit/>
              </a:bodyPr>
              <a:lstStyle/>
              <a:p>
                <a:pPr>
                  <a:defRPr sz="1200" b="0" i="0" u="none" strike="noStrike" kern="1200" baseline="0">
                    <a:solidFill>
                      <a:schemeClr val="tx1">
                        <a:lumMod val="75000"/>
                        <a:lumOff val="25000"/>
                      </a:schemeClr>
                    </a:solidFill>
                    <a:latin typeface="+mn-lt"/>
                    <a:ea typeface="+mn-ea"/>
                    <a:cs typeface="+mn-cs"/>
                  </a:defRPr>
                </a:pPr>
                <a:endParaRPr lang="lt-LT"/>
              </a:p>
            </c:txPr>
            <c:dLblPos val="inEnd"/>
            <c:showLegendKey val="0"/>
            <c:showVal val="1"/>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Planas!$V$641:$V$645</c:f>
              <c:strCache>
                <c:ptCount val="5"/>
                <c:pt idx="0">
                  <c:v>Priemonė buvo įvykdyta pagal planą</c:v>
                </c:pt>
                <c:pt idx="1">
                  <c:v>Vykdant priemonę buvo pasiekta vertinimo kriterijų reikšmių mažiau nei 50 %</c:v>
                </c:pt>
                <c:pt idx="2">
                  <c:v>Vykdant priemonę buvo pasiekta vertinimo kriterijų reikšmių 50 % ir daugiau</c:v>
                </c:pt>
                <c:pt idx="3">
                  <c:v>Vykdant priemonę buvo pasiekta daugiau vertinimo kriterijų reikšmių nei planuota</c:v>
                </c:pt>
                <c:pt idx="4">
                  <c:v>Priemonė neįvykdyta, t.y. nepasiekta planuota vertinimo kriterijų reikšmė</c:v>
                </c:pt>
              </c:strCache>
            </c:strRef>
          </c:cat>
          <c:val>
            <c:numRef>
              <c:f>Planas!$W$641:$W$645</c:f>
              <c:numCache>
                <c:formatCode>General</c:formatCode>
                <c:ptCount val="5"/>
                <c:pt idx="0">
                  <c:v>3</c:v>
                </c:pt>
                <c:pt idx="1">
                  <c:v>2</c:v>
                </c:pt>
                <c:pt idx="2">
                  <c:v>1</c:v>
                </c:pt>
                <c:pt idx="3">
                  <c:v>6</c:v>
                </c:pt>
                <c:pt idx="4">
                  <c:v>1</c:v>
                </c:pt>
              </c:numCache>
            </c:numRef>
          </c:val>
          <c:extLst>
            <c:ext xmlns:c16="http://schemas.microsoft.com/office/drawing/2014/chart" uri="{C3380CC4-5D6E-409C-BE32-E72D297353CC}">
              <c16:uniqueId val="{0000000A-D29E-4B73-81F9-CA1BA4C54EF1}"/>
            </c:ext>
          </c:extLst>
        </c:ser>
        <c:dLbls>
          <c:dLblPos val="bestFit"/>
          <c:showLegendKey val="0"/>
          <c:showVal val="1"/>
          <c:showCatName val="0"/>
          <c:showSerName val="0"/>
          <c:showPercent val="0"/>
          <c:showBubbleSize val="0"/>
          <c:showLeaderLines val="1"/>
        </c:dLbls>
      </c:pie3DChart>
      <c:spPr>
        <a:solidFill>
          <a:schemeClr val="bg1">
            <a:lumMod val="95000"/>
          </a:schemeClr>
        </a:solidFill>
        <a:ln>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a:effectLst>
          <a:softEdge rad="0"/>
        </a:effectLst>
      </c:spPr>
    </c:plotArea>
    <c:legend>
      <c:legendPos val="b"/>
      <c:layout>
        <c:manualLayout>
          <c:xMode val="edge"/>
          <c:yMode val="edge"/>
          <c:x val="2.256379873216996E-2"/>
          <c:y val="0.75093203096705152"/>
          <c:w val="0.95487225100822581"/>
          <c:h val="0.23416642482620731"/>
        </c:manualLayout>
      </c:layout>
      <c:overlay val="0"/>
      <c:spPr>
        <a:solidFill>
          <a:schemeClr val="bg1">
            <a:lumMod val="95000"/>
          </a:schemeClr>
        </a:solidFill>
        <a:ln>
          <a:gradFill flip="none" rotWithShape="1">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tileRect/>
          </a:gradFill>
        </a:ln>
        <a:effectLst/>
      </c:spPr>
      <c:txPr>
        <a:bodyPr rot="0" spcFirstLastPara="1" vertOverflow="ellipsis" vert="horz" wrap="square" anchor="ctr" anchorCtr="1"/>
        <a:lstStyle/>
        <a:p>
          <a:pPr rtl="0">
            <a:defRPr sz="1200" b="0" i="0" u="none" strike="noStrike" kern="1200" baseline="0">
              <a:ln>
                <a:noFill/>
              </a:ln>
              <a:solidFill>
                <a:schemeClr val="tx1"/>
              </a:solidFill>
              <a:latin typeface="Times New Roman" panose="02020603050405020304" pitchFamily="18" charset="0"/>
              <a:ea typeface="+mn-ea"/>
              <a:cs typeface="Times New Roman" panose="02020603050405020304" pitchFamily="18" charset="0"/>
            </a:defRPr>
          </a:pPr>
          <a:endParaRPr lang="lt-LT"/>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lumMod val="85000"/>
      </a:schemeClr>
    </a:solidFill>
    <a:ln w="9525" cap="flat" cmpd="sng" algn="ctr">
      <a:solidFill>
        <a:schemeClr val="tx1">
          <a:lumMod val="15000"/>
          <a:lumOff val="85000"/>
        </a:schemeClr>
      </a:solidFill>
      <a:round/>
    </a:ln>
    <a:effectLst>
      <a:softEdge rad="0"/>
    </a:effectLst>
  </c:spPr>
  <c:txPr>
    <a:bodyPr/>
    <a:lstStyle/>
    <a:p>
      <a:pPr>
        <a:defRPr/>
      </a:pPr>
      <a:endParaRPr lang="lt-LT"/>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1" i="0" u="none" strike="noStrike" kern="1200" spc="0" baseline="0">
                <a:solidFill>
                  <a:schemeClr val="tx1"/>
                </a:solidFill>
                <a:latin typeface="Times New Roman" panose="02020603050405020304" pitchFamily="18" charset="0"/>
                <a:ea typeface="+mn-ea"/>
                <a:cs typeface="Times New Roman" panose="02020603050405020304" pitchFamily="18" charset="0"/>
              </a:defRPr>
            </a:pPr>
            <a:r>
              <a:rPr lang="lt-LT" b="1"/>
              <a:t>2024 m. 09 programos vykdymo palyginimas su 2023 m.</a:t>
            </a:r>
          </a:p>
        </c:rich>
      </c:tx>
      <c:overlay val="0"/>
      <c:spPr>
        <a:noFill/>
        <a:ln>
          <a:noFill/>
        </a:ln>
        <a:effectLst/>
      </c:spPr>
      <c:txPr>
        <a:bodyPr rot="0" spcFirstLastPara="1" vertOverflow="ellipsis" vert="horz" wrap="square" anchor="ctr" anchorCtr="1"/>
        <a:lstStyle/>
        <a:p>
          <a:pPr>
            <a:defRPr sz="1440" b="1" i="0" u="none" strike="noStrike" kern="1200" spc="0" baseline="0">
              <a:solidFill>
                <a:schemeClr val="tx1"/>
              </a:solidFill>
              <a:latin typeface="Times New Roman" panose="02020603050405020304" pitchFamily="18" charset="0"/>
              <a:ea typeface="+mn-ea"/>
              <a:cs typeface="Times New Roman" panose="02020603050405020304" pitchFamily="18" charset="0"/>
            </a:defRPr>
          </a:pPr>
          <a:endParaRPr lang="lt-LT"/>
        </a:p>
      </c:txPr>
    </c:title>
    <c:autoTitleDeleted val="0"/>
    <c:plotArea>
      <c:layout>
        <c:manualLayout>
          <c:layoutTarget val="inner"/>
          <c:xMode val="edge"/>
          <c:yMode val="edge"/>
          <c:x val="9.2114197530864195E-2"/>
          <c:y val="0.10936134259259259"/>
          <c:w val="0.81829984567901248"/>
          <c:h val="0.48786805555555546"/>
        </c:manualLayout>
      </c:layout>
      <c:barChart>
        <c:barDir val="col"/>
        <c:grouping val="clustered"/>
        <c:varyColors val="0"/>
        <c:ser>
          <c:idx val="0"/>
          <c:order val="0"/>
          <c:tx>
            <c:strRef>
              <c:f>'[1]2024 m'!$B$91</c:f>
              <c:strCache>
                <c:ptCount val="1"/>
                <c:pt idx="0">
                  <c:v>Priemonė buvo įvykdyta pagal planą</c:v>
                </c:pt>
              </c:strCache>
            </c:strRef>
          </c:tx>
          <c:spPr>
            <a:solidFill>
              <a:srgbClr val="E2EFDA"/>
            </a:solidFill>
            <a:ln>
              <a:noFill/>
            </a:ln>
            <a:effectLst/>
            <a:scene3d>
              <a:camera prst="orthographicFront"/>
              <a:lightRig rig="threePt" dir="t"/>
            </a:scene3d>
            <a:sp3d>
              <a:bevelT/>
            </a:sp3d>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lt-LT"/>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'[1]2024 m'!$C$90:$D$90</c:f>
              <c:numCache>
                <c:formatCode>General</c:formatCode>
                <c:ptCount val="2"/>
                <c:pt idx="0">
                  <c:v>2023</c:v>
                </c:pt>
                <c:pt idx="1">
                  <c:v>2024</c:v>
                </c:pt>
              </c:numCache>
            </c:numRef>
          </c:cat>
          <c:val>
            <c:numRef>
              <c:f>'[1]2024 m'!$C$91:$D$91</c:f>
              <c:numCache>
                <c:formatCode>General</c:formatCode>
                <c:ptCount val="2"/>
                <c:pt idx="0">
                  <c:v>5</c:v>
                </c:pt>
                <c:pt idx="1">
                  <c:v>3</c:v>
                </c:pt>
              </c:numCache>
            </c:numRef>
          </c:val>
          <c:extLst>
            <c:ext xmlns:c16="http://schemas.microsoft.com/office/drawing/2014/chart" uri="{C3380CC4-5D6E-409C-BE32-E72D297353CC}">
              <c16:uniqueId val="{00000000-DC47-47CC-8018-D5ABE2398FDE}"/>
            </c:ext>
          </c:extLst>
        </c:ser>
        <c:ser>
          <c:idx val="1"/>
          <c:order val="1"/>
          <c:tx>
            <c:strRef>
              <c:f>'[1]2024 m'!$B$92</c:f>
              <c:strCache>
                <c:ptCount val="1"/>
                <c:pt idx="0">
                  <c:v>Vykdant priemonę buvo pasiekta vertinimo kriterijų reikšmių mažiau nei 50 %</c:v>
                </c:pt>
              </c:strCache>
            </c:strRef>
          </c:tx>
          <c:spPr>
            <a:solidFill>
              <a:srgbClr val="FFCCCC"/>
            </a:solidFill>
            <a:ln>
              <a:noFill/>
            </a:ln>
            <a:effectLst/>
            <a:scene3d>
              <a:camera prst="orthographicFront"/>
              <a:lightRig rig="threePt" dir="t"/>
            </a:scene3d>
            <a:sp3d>
              <a:bevelT/>
            </a:sp3d>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lt-LT"/>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'[1]2024 m'!$C$90:$D$90</c:f>
              <c:numCache>
                <c:formatCode>General</c:formatCode>
                <c:ptCount val="2"/>
                <c:pt idx="0">
                  <c:v>2023</c:v>
                </c:pt>
                <c:pt idx="1">
                  <c:v>2024</c:v>
                </c:pt>
              </c:numCache>
            </c:numRef>
          </c:cat>
          <c:val>
            <c:numRef>
              <c:f>'[1]2024 m'!$C$92:$D$92</c:f>
              <c:numCache>
                <c:formatCode>General</c:formatCode>
                <c:ptCount val="2"/>
                <c:pt idx="0">
                  <c:v>0</c:v>
                </c:pt>
                <c:pt idx="1">
                  <c:v>2</c:v>
                </c:pt>
              </c:numCache>
            </c:numRef>
          </c:val>
          <c:extLst>
            <c:ext xmlns:c16="http://schemas.microsoft.com/office/drawing/2014/chart" uri="{C3380CC4-5D6E-409C-BE32-E72D297353CC}">
              <c16:uniqueId val="{00000001-DC47-47CC-8018-D5ABE2398FDE}"/>
            </c:ext>
          </c:extLst>
        </c:ser>
        <c:ser>
          <c:idx val="2"/>
          <c:order val="2"/>
          <c:tx>
            <c:strRef>
              <c:f>'[1]2024 m'!$B$93</c:f>
              <c:strCache>
                <c:ptCount val="1"/>
                <c:pt idx="0">
                  <c:v>Vykdant priemonę buvo pasiekta vertinimo kriterijų reikšmių 50 % ir daugiau</c:v>
                </c:pt>
              </c:strCache>
            </c:strRef>
          </c:tx>
          <c:spPr>
            <a:solidFill>
              <a:srgbClr val="FFC000"/>
            </a:solidFill>
            <a:ln>
              <a:noFill/>
            </a:ln>
            <a:effectLst/>
            <a:scene3d>
              <a:camera prst="orthographicFront"/>
              <a:lightRig rig="threePt" dir="t"/>
            </a:scene3d>
            <a:sp3d>
              <a:bevelT/>
            </a:sp3d>
          </c:spPr>
          <c:invertIfNegative val="0"/>
          <c:dLbls>
            <c:dLbl>
              <c:idx val="0"/>
              <c:layout>
                <c:manualLayout>
                  <c:x val="-3.5930660429711428E-17"/>
                  <c:y val="5.6164793696098936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DC47-47CC-8018-D5ABE2398FDE}"/>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lt-LT"/>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'[1]2024 m'!$C$90:$D$90</c:f>
              <c:numCache>
                <c:formatCode>General</c:formatCode>
                <c:ptCount val="2"/>
                <c:pt idx="0">
                  <c:v>2023</c:v>
                </c:pt>
                <c:pt idx="1">
                  <c:v>2024</c:v>
                </c:pt>
              </c:numCache>
            </c:numRef>
          </c:cat>
          <c:val>
            <c:numRef>
              <c:f>'[1]2024 m'!$C$93:$D$93</c:f>
              <c:numCache>
                <c:formatCode>General</c:formatCode>
                <c:ptCount val="2"/>
                <c:pt idx="0">
                  <c:v>3</c:v>
                </c:pt>
                <c:pt idx="1">
                  <c:v>1</c:v>
                </c:pt>
              </c:numCache>
            </c:numRef>
          </c:val>
          <c:extLst>
            <c:ext xmlns:c16="http://schemas.microsoft.com/office/drawing/2014/chart" uri="{C3380CC4-5D6E-409C-BE32-E72D297353CC}">
              <c16:uniqueId val="{00000003-DC47-47CC-8018-D5ABE2398FDE}"/>
            </c:ext>
          </c:extLst>
        </c:ser>
        <c:ser>
          <c:idx val="3"/>
          <c:order val="3"/>
          <c:tx>
            <c:strRef>
              <c:f>'[1]2024 m'!$B$94</c:f>
              <c:strCache>
                <c:ptCount val="1"/>
                <c:pt idx="0">
                  <c:v>Vykdant priemonę buvo pasiekta daugiau vertinimo kriterijų reikšmių nei planuota</c:v>
                </c:pt>
              </c:strCache>
            </c:strRef>
          </c:tx>
          <c:spPr>
            <a:solidFill>
              <a:schemeClr val="bg1">
                <a:lumMod val="85000"/>
              </a:schemeClr>
            </a:solidFill>
            <a:ln>
              <a:solidFill>
                <a:schemeClr val="bg1">
                  <a:lumMod val="85000"/>
                </a:schemeClr>
              </a:solidFill>
            </a:ln>
            <a:effectLst/>
            <a:scene3d>
              <a:camera prst="orthographicFront"/>
              <a:lightRig rig="threePt" dir="t"/>
            </a:scene3d>
            <a:sp3d>
              <a:bevelT/>
            </a:sp3d>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lt-LT"/>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'[1]2024 m'!$C$90:$D$90</c:f>
              <c:numCache>
                <c:formatCode>General</c:formatCode>
                <c:ptCount val="2"/>
                <c:pt idx="0">
                  <c:v>2023</c:v>
                </c:pt>
                <c:pt idx="1">
                  <c:v>2024</c:v>
                </c:pt>
              </c:numCache>
            </c:numRef>
          </c:cat>
          <c:val>
            <c:numRef>
              <c:f>'[1]2024 m'!$C$94:$D$94</c:f>
              <c:numCache>
                <c:formatCode>General</c:formatCode>
                <c:ptCount val="2"/>
                <c:pt idx="0">
                  <c:v>4</c:v>
                </c:pt>
                <c:pt idx="1">
                  <c:v>6</c:v>
                </c:pt>
              </c:numCache>
            </c:numRef>
          </c:val>
          <c:extLst>
            <c:ext xmlns:c16="http://schemas.microsoft.com/office/drawing/2014/chart" uri="{C3380CC4-5D6E-409C-BE32-E72D297353CC}">
              <c16:uniqueId val="{00000004-DC47-47CC-8018-D5ABE2398FDE}"/>
            </c:ext>
          </c:extLst>
        </c:ser>
        <c:ser>
          <c:idx val="4"/>
          <c:order val="4"/>
          <c:tx>
            <c:strRef>
              <c:f>'[1]2024 m'!$B$95</c:f>
              <c:strCache>
                <c:ptCount val="1"/>
                <c:pt idx="0">
                  <c:v>Priemonė neįvykdyta, t.y. nepasiekta planuota vertinimo kriterijų reikšmė</c:v>
                </c:pt>
              </c:strCache>
            </c:strRef>
          </c:tx>
          <c:spPr>
            <a:solidFill>
              <a:srgbClr val="FCE4D6"/>
            </a:solidFill>
            <a:ln>
              <a:solidFill>
                <a:srgbClr val="FCE4D6"/>
              </a:solidFill>
            </a:ln>
            <a:effectLst/>
            <a:scene3d>
              <a:camera prst="orthographicFront"/>
              <a:lightRig rig="threePt" dir="t"/>
            </a:scene3d>
            <a:sp3d>
              <a:bevelT/>
            </a:sp3d>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lt-LT"/>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'[1]2024 m'!$C$90:$D$90</c:f>
              <c:numCache>
                <c:formatCode>General</c:formatCode>
                <c:ptCount val="2"/>
                <c:pt idx="0">
                  <c:v>2023</c:v>
                </c:pt>
                <c:pt idx="1">
                  <c:v>2024</c:v>
                </c:pt>
              </c:numCache>
            </c:numRef>
          </c:cat>
          <c:val>
            <c:numRef>
              <c:f>'[1]2024 m'!$C$95:$D$95</c:f>
              <c:numCache>
                <c:formatCode>General</c:formatCode>
                <c:ptCount val="2"/>
                <c:pt idx="0">
                  <c:v>0</c:v>
                </c:pt>
                <c:pt idx="1">
                  <c:v>1</c:v>
                </c:pt>
              </c:numCache>
            </c:numRef>
          </c:val>
          <c:extLst>
            <c:ext xmlns:c16="http://schemas.microsoft.com/office/drawing/2014/chart" uri="{C3380CC4-5D6E-409C-BE32-E72D297353CC}">
              <c16:uniqueId val="{00000005-DC47-47CC-8018-D5ABE2398FDE}"/>
            </c:ext>
          </c:extLst>
        </c:ser>
        <c:dLbls>
          <c:showLegendKey val="0"/>
          <c:showVal val="1"/>
          <c:showCatName val="0"/>
          <c:showSerName val="0"/>
          <c:showPercent val="0"/>
          <c:showBubbleSize val="0"/>
        </c:dLbls>
        <c:gapWidth val="150"/>
        <c:axId val="1495728303"/>
        <c:axId val="1495744527"/>
      </c:barChart>
      <c:lineChart>
        <c:grouping val="standard"/>
        <c:varyColors val="0"/>
        <c:ser>
          <c:idx val="5"/>
          <c:order val="5"/>
          <c:tx>
            <c:strRef>
              <c:f>'[1]2024 m'!$B$96</c:f>
              <c:strCache>
                <c:ptCount val="1"/>
                <c:pt idx="0">
                  <c:v>Iš viso programų priemonių</c:v>
                </c:pt>
              </c:strCache>
            </c:strRef>
          </c:tx>
          <c:spPr>
            <a:ln w="28575" cap="rnd">
              <a:solidFill>
                <a:srgbClr val="FFC000"/>
              </a:solidFill>
              <a:round/>
            </a:ln>
            <a:effectLst/>
          </c:spPr>
          <c:marker>
            <c:symbol val="circle"/>
            <c:size val="7"/>
            <c:spPr>
              <a:solidFill>
                <a:schemeClr val="accent4">
                  <a:lumMod val="60000"/>
                  <a:lumOff val="40000"/>
                </a:schemeClr>
              </a:solidFill>
              <a:ln w="9525">
                <a:solidFill>
                  <a:schemeClr val="accent4"/>
                </a:solidFill>
              </a:ln>
              <a:effectLst/>
              <a:scene3d>
                <a:camera prst="orthographicFront"/>
                <a:lightRig rig="threePt" dir="t"/>
              </a:scene3d>
              <a:sp3d>
                <a:bevelT/>
              </a:sp3d>
            </c:spPr>
          </c:marker>
          <c:dLbls>
            <c:dLbl>
              <c:idx val="0"/>
              <c:layout>
                <c:manualLayout>
                  <c:x val="-5.095679798716022E-2"/>
                  <c:y val="-5.6164793696098936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DC47-47CC-8018-D5ABE2398FDE}"/>
                </c:ext>
              </c:extLst>
            </c:dLbl>
            <c:dLbl>
              <c:idx val="1"/>
              <c:layout>
                <c:manualLayout>
                  <c:x val="-9.7993842283000347E-3"/>
                  <c:y val="-1.123295873921978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DC47-47CC-8018-D5ABE2398FDE}"/>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lt-LT"/>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'[1]2024 m'!$C$90:$D$90</c:f>
              <c:numCache>
                <c:formatCode>General</c:formatCode>
                <c:ptCount val="2"/>
                <c:pt idx="0">
                  <c:v>2023</c:v>
                </c:pt>
                <c:pt idx="1">
                  <c:v>2024</c:v>
                </c:pt>
              </c:numCache>
            </c:numRef>
          </c:cat>
          <c:val>
            <c:numRef>
              <c:f>'[1]2024 m'!$C$96:$D$96</c:f>
              <c:numCache>
                <c:formatCode>General</c:formatCode>
                <c:ptCount val="2"/>
                <c:pt idx="0">
                  <c:v>12</c:v>
                </c:pt>
                <c:pt idx="1">
                  <c:v>13</c:v>
                </c:pt>
              </c:numCache>
            </c:numRef>
          </c:val>
          <c:smooth val="0"/>
          <c:extLst>
            <c:ext xmlns:c16="http://schemas.microsoft.com/office/drawing/2014/chart" uri="{C3380CC4-5D6E-409C-BE32-E72D297353CC}">
              <c16:uniqueId val="{00000008-DC47-47CC-8018-D5ABE2398FDE}"/>
            </c:ext>
          </c:extLst>
        </c:ser>
        <c:dLbls>
          <c:showLegendKey val="0"/>
          <c:showVal val="1"/>
          <c:showCatName val="0"/>
          <c:showSerName val="0"/>
          <c:showPercent val="0"/>
          <c:showBubbleSize val="0"/>
        </c:dLbls>
        <c:marker val="1"/>
        <c:smooth val="0"/>
        <c:axId val="1632945087"/>
        <c:axId val="1632942591"/>
      </c:lineChart>
      <c:catAx>
        <c:axId val="1495728303"/>
        <c:scaling>
          <c:orientation val="minMax"/>
        </c:scaling>
        <c:delete val="0"/>
        <c:axPos val="b"/>
        <c:title>
          <c:tx>
            <c:rich>
              <a:bodyPr rot="0" spcFirstLastPara="1" vertOverflow="ellipsis" vert="horz" wrap="square" anchor="ctr" anchorCtr="1"/>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r>
                  <a:rPr lang="lt-LT"/>
                  <a:t>Metai</a:t>
                </a:r>
              </a:p>
            </c:rich>
          </c:tx>
          <c:layout>
            <c:manualLayout>
              <c:xMode val="edge"/>
              <c:yMode val="edge"/>
              <c:x val="0.48600648148148146"/>
              <c:y val="0.63521180555555556"/>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lt-LT"/>
            </a:p>
          </c:txPr>
        </c:title>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lt-LT"/>
          </a:p>
        </c:txPr>
        <c:crossAx val="1495744527"/>
        <c:crosses val="autoZero"/>
        <c:auto val="1"/>
        <c:lblAlgn val="ctr"/>
        <c:lblOffset val="100"/>
        <c:noMultiLvlLbl val="0"/>
      </c:catAx>
      <c:valAx>
        <c:axId val="1495744527"/>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r>
                  <a:rPr lang="lt-LT" sz="1200"/>
                  <a:t>Progamų priemonių skaičius</a:t>
                </a:r>
              </a:p>
            </c:rich>
          </c:tx>
          <c:layout>
            <c:manualLayout>
              <c:xMode val="edge"/>
              <c:yMode val="edge"/>
              <c:x val="1.0191358024691358E-2"/>
              <c:y val="0.15776712661357695"/>
            </c:manualLayout>
          </c:layout>
          <c:overlay val="0"/>
          <c:spPr>
            <a:noFill/>
            <a:ln>
              <a:noFill/>
            </a:ln>
            <a:effectLst/>
          </c:spPr>
          <c:txPr>
            <a:bodyPr rot="-5400000" spcFirstLastPara="1" vertOverflow="ellipsis" vert="horz" wrap="square" anchor="ctr" anchorCtr="1"/>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lt-LT"/>
            </a:p>
          </c:txPr>
        </c:title>
        <c:numFmt formatCode="General"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lt-LT"/>
          </a:p>
        </c:txPr>
        <c:crossAx val="1495728303"/>
        <c:crosses val="autoZero"/>
        <c:crossBetween val="between"/>
      </c:valAx>
      <c:valAx>
        <c:axId val="1632942591"/>
        <c:scaling>
          <c:orientation val="minMax"/>
        </c:scaling>
        <c:delete val="0"/>
        <c:axPos val="r"/>
        <c:title>
          <c:tx>
            <c:rich>
              <a:bodyPr rot="-5400000" spcFirstLastPara="1" vertOverflow="ellipsis" vert="horz" wrap="square" anchor="ctr" anchorCtr="1"/>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r>
                  <a:rPr lang="lt-LT"/>
                  <a:t>Programų</a:t>
                </a:r>
                <a:r>
                  <a:rPr lang="lt-LT" baseline="0"/>
                  <a:t> priemonių skaičius</a:t>
                </a:r>
                <a:endParaRPr lang="lt-LT"/>
              </a:p>
            </c:rich>
          </c:tx>
          <c:overlay val="0"/>
          <c:spPr>
            <a:noFill/>
            <a:ln>
              <a:noFill/>
            </a:ln>
            <a:effectLst/>
          </c:spPr>
          <c:txPr>
            <a:bodyPr rot="-5400000" spcFirstLastPara="1" vertOverflow="ellipsis" vert="horz" wrap="square" anchor="ctr" anchorCtr="1"/>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lt-LT"/>
            </a:p>
          </c:txPr>
        </c:title>
        <c:numFmt formatCode="General"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lt-LT"/>
          </a:p>
        </c:txPr>
        <c:crossAx val="1632945087"/>
        <c:crosses val="max"/>
        <c:crossBetween val="between"/>
      </c:valAx>
      <c:catAx>
        <c:axId val="1632945087"/>
        <c:scaling>
          <c:orientation val="minMax"/>
        </c:scaling>
        <c:delete val="1"/>
        <c:axPos val="b"/>
        <c:numFmt formatCode="General" sourceLinked="1"/>
        <c:majorTickMark val="out"/>
        <c:minorTickMark val="none"/>
        <c:tickLblPos val="nextTo"/>
        <c:crossAx val="1632942591"/>
        <c:crosses val="autoZero"/>
        <c:auto val="1"/>
        <c:lblAlgn val="ctr"/>
        <c:lblOffset val="100"/>
        <c:noMultiLvlLbl val="0"/>
      </c:catAx>
      <c:spPr>
        <a:solidFill>
          <a:schemeClr val="bg1">
            <a:lumMod val="95000"/>
          </a:schemeClr>
        </a:solidFill>
        <a:ln>
          <a:noFill/>
        </a:ln>
        <a:effectLst/>
      </c:spPr>
    </c:plotArea>
    <c:legend>
      <c:legendPos val="b"/>
      <c:layout>
        <c:manualLayout>
          <c:xMode val="edge"/>
          <c:yMode val="edge"/>
          <c:x val="4.5853402137870689E-2"/>
          <c:y val="0.6875503880014312"/>
          <c:w val="0.92355570987654323"/>
          <c:h val="0.29560017388973925"/>
        </c:manualLayout>
      </c:layout>
      <c:overlay val="0"/>
      <c:spPr>
        <a:solidFill>
          <a:schemeClr val="bg1">
            <a:lumMod val="95000"/>
          </a:schemeClr>
        </a:solidFill>
        <a:ln>
          <a:noFill/>
        </a:ln>
        <a:effectLst/>
      </c:spPr>
      <c:txPr>
        <a:bodyPr rot="0" spcFirstLastPara="1" vertOverflow="ellipsis" vert="horz" wrap="square" anchor="ctr" anchorCtr="1"/>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lt-LT"/>
        </a:p>
      </c:txPr>
    </c:legend>
    <c:plotVisOnly val="1"/>
    <c:dispBlanksAs val="gap"/>
    <c:showDLblsOverMax val="0"/>
  </c:chart>
  <c:spPr>
    <a:solidFill>
      <a:schemeClr val="bg1">
        <a:lumMod val="85000"/>
      </a:schemeClr>
    </a:solidFill>
    <a:ln w="9525" cap="flat" cmpd="sng" algn="ctr">
      <a:solidFill>
        <a:schemeClr val="tx1">
          <a:lumMod val="15000"/>
          <a:lumOff val="85000"/>
        </a:schemeClr>
      </a:solidFill>
      <a:round/>
    </a:ln>
    <a:effectLst/>
  </c:spPr>
  <c:txPr>
    <a:bodyPr/>
    <a:lstStyle/>
    <a:p>
      <a:pPr>
        <a:defRPr sz="1200">
          <a:solidFill>
            <a:schemeClr val="tx1"/>
          </a:solidFill>
          <a:latin typeface="Times New Roman" panose="02020603050405020304" pitchFamily="18" charset="0"/>
          <a:cs typeface="Times New Roman" panose="02020603050405020304" pitchFamily="18" charset="0"/>
        </a:defRPr>
      </a:pPr>
      <a:endParaRPr lang="lt-LT"/>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a:defRPr sz="1400" b="1" i="0" u="none" strike="noStrike" kern="1200" spc="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r>
              <a:rPr lang="lt-LT" b="1">
                <a:latin typeface="Times New Roman" panose="02020603050405020304" pitchFamily="18" charset="0"/>
                <a:cs typeface="Times New Roman" panose="02020603050405020304" pitchFamily="18" charset="0"/>
              </a:rPr>
              <a:t>10 programos vykdymas</a:t>
            </a:r>
            <a:endParaRPr lang="en-US" b="1">
              <a:latin typeface="Times New Roman" panose="02020603050405020304" pitchFamily="18" charset="0"/>
              <a:cs typeface="Times New Roman" panose="02020603050405020304" pitchFamily="18" charset="0"/>
            </a:endParaRPr>
          </a:p>
        </c:rich>
      </c:tx>
      <c:layout>
        <c:manualLayout>
          <c:xMode val="edge"/>
          <c:yMode val="edge"/>
          <c:x val="0.33486259871065305"/>
          <c:y val="2.2352316310111694E-2"/>
        </c:manualLayout>
      </c:layout>
      <c:overlay val="0"/>
      <c:spPr>
        <a:noFill/>
        <a:ln>
          <a:noFill/>
        </a:ln>
        <a:effectLst/>
      </c:spPr>
      <c:txPr>
        <a:bodyPr rot="0" spcFirstLastPara="1" vertOverflow="ellipsis" vert="horz" wrap="square" anchor="ctr" anchorCtr="1"/>
        <a:lstStyle/>
        <a:p>
          <a:pPr algn="ctr">
            <a:defRPr sz="1400" b="1" i="0" u="none" strike="noStrike" kern="1200" spc="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en-US"/>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spPr>
            <a:ln w="31750"/>
            <a:scene3d>
              <a:camera prst="orthographicFront"/>
              <a:lightRig rig="threePt" dir="t"/>
            </a:scene3d>
            <a:sp3d prstMaterial="matte">
              <a:contourClr>
                <a:srgbClr val="000000"/>
              </a:contourClr>
            </a:sp3d>
          </c:spPr>
          <c:explosion val="3"/>
          <c:dPt>
            <c:idx val="0"/>
            <c:bubble3D val="0"/>
            <c:spPr>
              <a:solidFill>
                <a:schemeClr val="accent3">
                  <a:lumMod val="20000"/>
                  <a:lumOff val="80000"/>
                </a:schemeClr>
              </a:solidFill>
              <a:ln w="31750">
                <a:solidFill>
                  <a:schemeClr val="accent3">
                    <a:lumMod val="20000"/>
                    <a:lumOff val="80000"/>
                  </a:schemeClr>
                </a:solidFill>
              </a:ln>
              <a:effectLst/>
              <a:scene3d>
                <a:camera prst="orthographicFront"/>
                <a:lightRig rig="threePt" dir="t"/>
              </a:scene3d>
              <a:sp3d contourW="31750" prstMaterial="matte">
                <a:contourClr>
                  <a:schemeClr val="accent3">
                    <a:lumMod val="20000"/>
                    <a:lumOff val="80000"/>
                  </a:schemeClr>
                </a:contourClr>
              </a:sp3d>
            </c:spPr>
            <c:extLst>
              <c:ext xmlns:c16="http://schemas.microsoft.com/office/drawing/2014/chart" uri="{C3380CC4-5D6E-409C-BE32-E72D297353CC}">
                <c16:uniqueId val="{00000001-8B6C-477D-B208-668F20C77418}"/>
              </c:ext>
            </c:extLst>
          </c:dPt>
          <c:dPt>
            <c:idx val="1"/>
            <c:bubble3D val="0"/>
            <c:spPr>
              <a:solidFill>
                <a:srgbClr val="FFCCCC"/>
              </a:solidFill>
              <a:ln w="31750">
                <a:solidFill>
                  <a:srgbClr val="FFCCCC"/>
                </a:solidFill>
              </a:ln>
              <a:effectLst/>
              <a:scene3d>
                <a:camera prst="orthographicFront"/>
                <a:lightRig rig="threePt" dir="t"/>
              </a:scene3d>
              <a:sp3d contourW="31750" prstMaterial="matte">
                <a:contourClr>
                  <a:srgbClr val="FFCCCC"/>
                </a:contourClr>
              </a:sp3d>
            </c:spPr>
            <c:extLst>
              <c:ext xmlns:c16="http://schemas.microsoft.com/office/drawing/2014/chart" uri="{C3380CC4-5D6E-409C-BE32-E72D297353CC}">
                <c16:uniqueId val="{00000003-8B6C-477D-B208-668F20C77418}"/>
              </c:ext>
            </c:extLst>
          </c:dPt>
          <c:dPt>
            <c:idx val="2"/>
            <c:bubble3D val="0"/>
            <c:spPr>
              <a:solidFill>
                <a:srgbClr val="FFC000"/>
              </a:solidFill>
              <a:ln w="31750">
                <a:solidFill>
                  <a:srgbClr val="FFC000"/>
                </a:solidFill>
              </a:ln>
              <a:effectLst/>
              <a:scene3d>
                <a:camera prst="orthographicFront"/>
                <a:lightRig rig="threePt" dir="t"/>
              </a:scene3d>
              <a:sp3d contourW="31750" prstMaterial="matte">
                <a:contourClr>
                  <a:srgbClr val="FFC000"/>
                </a:contourClr>
              </a:sp3d>
            </c:spPr>
            <c:extLst>
              <c:ext xmlns:c16="http://schemas.microsoft.com/office/drawing/2014/chart" uri="{C3380CC4-5D6E-409C-BE32-E72D297353CC}">
                <c16:uniqueId val="{00000005-8B6C-477D-B208-668F20C77418}"/>
              </c:ext>
            </c:extLst>
          </c:dPt>
          <c:dPt>
            <c:idx val="3"/>
            <c:bubble3D val="0"/>
            <c:spPr>
              <a:solidFill>
                <a:schemeClr val="bg1">
                  <a:lumMod val="85000"/>
                </a:schemeClr>
              </a:solidFill>
              <a:ln w="31750">
                <a:solidFill>
                  <a:schemeClr val="bg1">
                    <a:lumMod val="85000"/>
                  </a:schemeClr>
                </a:solidFill>
              </a:ln>
              <a:effectLst/>
              <a:scene3d>
                <a:camera prst="orthographicFront"/>
                <a:lightRig rig="threePt" dir="t"/>
              </a:scene3d>
              <a:sp3d contourW="31750" prstMaterial="matte">
                <a:contourClr>
                  <a:schemeClr val="bg1">
                    <a:lumMod val="85000"/>
                  </a:schemeClr>
                </a:contourClr>
              </a:sp3d>
            </c:spPr>
            <c:extLst>
              <c:ext xmlns:c16="http://schemas.microsoft.com/office/drawing/2014/chart" uri="{C3380CC4-5D6E-409C-BE32-E72D297353CC}">
                <c16:uniqueId val="{00000007-8B6C-477D-B208-668F20C77418}"/>
              </c:ext>
            </c:extLst>
          </c:dPt>
          <c:dPt>
            <c:idx val="4"/>
            <c:bubble3D val="0"/>
            <c:spPr>
              <a:solidFill>
                <a:schemeClr val="accent6">
                  <a:lumMod val="20000"/>
                  <a:lumOff val="80000"/>
                </a:schemeClr>
              </a:solidFill>
              <a:ln w="31750">
                <a:solidFill>
                  <a:schemeClr val="accent6">
                    <a:lumMod val="20000"/>
                    <a:lumOff val="80000"/>
                  </a:schemeClr>
                </a:solidFill>
              </a:ln>
              <a:effectLst/>
              <a:scene3d>
                <a:camera prst="orthographicFront"/>
                <a:lightRig rig="threePt" dir="t"/>
              </a:scene3d>
              <a:sp3d contourW="31750" prstMaterial="matte">
                <a:contourClr>
                  <a:schemeClr val="accent6">
                    <a:lumMod val="20000"/>
                    <a:lumOff val="80000"/>
                  </a:schemeClr>
                </a:contourClr>
              </a:sp3d>
            </c:spPr>
            <c:extLst>
              <c:ext xmlns:c16="http://schemas.microsoft.com/office/drawing/2014/chart" uri="{C3380CC4-5D6E-409C-BE32-E72D297353CC}">
                <c16:uniqueId val="{00000009-8B6C-477D-B208-668F20C77418}"/>
              </c:ext>
            </c:extLst>
          </c:dPt>
          <c:dLbls>
            <c:dLbl>
              <c:idx val="1"/>
              <c:layout>
                <c:manualLayout>
                  <c:x val="-5.8779361339796908E-2"/>
                  <c:y val="-0.16291980568066577"/>
                </c:manualLayout>
              </c:layout>
              <c:dLblPos val="bestFit"/>
              <c:showLegendKey val="0"/>
              <c:showVal val="1"/>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8B6C-477D-B208-668F20C77418}"/>
                </c:ext>
              </c:extLst>
            </c:dLbl>
            <c:spPr>
              <a:noFill/>
              <a:ln>
                <a:noFill/>
              </a:ln>
              <a:effectLst/>
            </c:spPr>
            <c:txPr>
              <a:bodyPr rot="0" spcFirstLastPara="1" vertOverflow="ellipsis" vert="horz" wrap="square" lIns="38100" tIns="19050" rIns="38100" bIns="19050" anchor="ctr" anchorCtr="0">
                <a:spAutoFit/>
              </a:bodyPr>
              <a:lstStyle/>
              <a:p>
                <a:pPr>
                  <a:defRPr sz="1200" b="0" i="0" u="none" strike="noStrike" kern="1200" baseline="0">
                    <a:solidFill>
                      <a:schemeClr val="tx1">
                        <a:lumMod val="75000"/>
                        <a:lumOff val="25000"/>
                      </a:schemeClr>
                    </a:solidFill>
                    <a:latin typeface="+mn-lt"/>
                    <a:ea typeface="+mn-ea"/>
                    <a:cs typeface="+mn-cs"/>
                  </a:defRPr>
                </a:pPr>
                <a:endParaRPr lang="lt-LT"/>
              </a:p>
            </c:txPr>
            <c:dLblPos val="inEnd"/>
            <c:showLegendKey val="0"/>
            <c:showVal val="1"/>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Planas!$V$699:$V$703</c:f>
              <c:strCache>
                <c:ptCount val="5"/>
                <c:pt idx="0">
                  <c:v>Priemonė buvo įvykdyta pagal planą</c:v>
                </c:pt>
                <c:pt idx="1">
                  <c:v>Vykdant priemonę buvo pasiekta vertinimo kriterijų reikšmių mažiau nei 50 %</c:v>
                </c:pt>
                <c:pt idx="2">
                  <c:v>Vykdant priemonę buvo pasiekta vertinimo kriterijų reikšmių 50 % ir daugiau</c:v>
                </c:pt>
                <c:pt idx="3">
                  <c:v>Vykdant priemonę buvo pasiekta daugiau vertinimo kriterijų reikšmių nei planuota</c:v>
                </c:pt>
                <c:pt idx="4">
                  <c:v>Priemonė neįvykdyta, t.y. nepasiekta planuota vertinimo kriterijų reikšmė</c:v>
                </c:pt>
              </c:strCache>
            </c:strRef>
          </c:cat>
          <c:val>
            <c:numRef>
              <c:f>Planas!$W$699:$W$703</c:f>
              <c:numCache>
                <c:formatCode>General</c:formatCode>
                <c:ptCount val="5"/>
                <c:pt idx="0">
                  <c:v>11</c:v>
                </c:pt>
                <c:pt idx="2">
                  <c:v>7</c:v>
                </c:pt>
                <c:pt idx="3">
                  <c:v>8</c:v>
                </c:pt>
              </c:numCache>
            </c:numRef>
          </c:val>
          <c:extLst>
            <c:ext xmlns:c16="http://schemas.microsoft.com/office/drawing/2014/chart" uri="{C3380CC4-5D6E-409C-BE32-E72D297353CC}">
              <c16:uniqueId val="{0000000A-8B6C-477D-B208-668F20C77418}"/>
            </c:ext>
          </c:extLst>
        </c:ser>
        <c:dLbls>
          <c:dLblPos val="bestFit"/>
          <c:showLegendKey val="0"/>
          <c:showVal val="1"/>
          <c:showCatName val="0"/>
          <c:showSerName val="0"/>
          <c:showPercent val="0"/>
          <c:showBubbleSize val="0"/>
          <c:showLeaderLines val="1"/>
        </c:dLbls>
      </c:pie3DChart>
      <c:spPr>
        <a:solidFill>
          <a:schemeClr val="bg1">
            <a:lumMod val="95000"/>
          </a:schemeClr>
        </a:solidFill>
        <a:ln>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a:effectLst>
          <a:softEdge rad="0"/>
        </a:effectLst>
      </c:spPr>
    </c:plotArea>
    <c:legend>
      <c:legendPos val="b"/>
      <c:layout>
        <c:manualLayout>
          <c:xMode val="edge"/>
          <c:yMode val="edge"/>
          <c:x val="2.256379873216996E-2"/>
          <c:y val="0.75093203096705152"/>
          <c:w val="0.95487225100822581"/>
          <c:h val="0.23416642482620731"/>
        </c:manualLayout>
      </c:layout>
      <c:overlay val="0"/>
      <c:spPr>
        <a:solidFill>
          <a:schemeClr val="bg1">
            <a:lumMod val="95000"/>
          </a:schemeClr>
        </a:solidFill>
        <a:ln>
          <a:gradFill flip="none" rotWithShape="1">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tileRect/>
          </a:gradFill>
        </a:ln>
        <a:effectLst/>
      </c:spPr>
      <c:txPr>
        <a:bodyPr rot="0" spcFirstLastPara="1" vertOverflow="ellipsis" vert="horz" wrap="square" anchor="ctr" anchorCtr="1"/>
        <a:lstStyle/>
        <a:p>
          <a:pPr rtl="0">
            <a:defRPr sz="1200" b="0" i="0" u="none" strike="noStrike" kern="1200" baseline="0">
              <a:ln>
                <a:noFill/>
              </a:ln>
              <a:solidFill>
                <a:schemeClr val="tx1"/>
              </a:solidFill>
              <a:latin typeface="Times New Roman" panose="02020603050405020304" pitchFamily="18" charset="0"/>
              <a:ea typeface="+mn-ea"/>
              <a:cs typeface="Times New Roman" panose="02020603050405020304" pitchFamily="18" charset="0"/>
            </a:defRPr>
          </a:pPr>
          <a:endParaRPr lang="lt-LT"/>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lumMod val="85000"/>
      </a:schemeClr>
    </a:solidFill>
    <a:ln w="9525" cap="flat" cmpd="sng" algn="ctr">
      <a:solidFill>
        <a:schemeClr val="tx1">
          <a:lumMod val="15000"/>
          <a:lumOff val="85000"/>
        </a:schemeClr>
      </a:solidFill>
      <a:round/>
    </a:ln>
    <a:effectLst>
      <a:softEdge rad="0"/>
    </a:effectLst>
  </c:spPr>
  <c:txPr>
    <a:bodyPr/>
    <a:lstStyle/>
    <a:p>
      <a:pPr>
        <a:defRPr/>
      </a:pPr>
      <a:endParaRPr lang="lt-LT"/>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1" i="0" u="none" strike="noStrike" kern="1200" spc="0" baseline="0">
                <a:solidFill>
                  <a:schemeClr val="tx1"/>
                </a:solidFill>
                <a:latin typeface="Times New Roman" panose="02020603050405020304" pitchFamily="18" charset="0"/>
                <a:ea typeface="+mn-ea"/>
                <a:cs typeface="Times New Roman" panose="02020603050405020304" pitchFamily="18" charset="0"/>
              </a:defRPr>
            </a:pPr>
            <a:r>
              <a:rPr lang="lt-LT" b="1"/>
              <a:t>2024 m. 01 programos vykdymo palyginimas su 2023 m.</a:t>
            </a:r>
          </a:p>
        </c:rich>
      </c:tx>
      <c:overlay val="0"/>
      <c:spPr>
        <a:noFill/>
        <a:ln>
          <a:noFill/>
        </a:ln>
        <a:effectLst/>
      </c:spPr>
      <c:txPr>
        <a:bodyPr rot="0" spcFirstLastPara="1" vertOverflow="ellipsis" vert="horz" wrap="square" anchor="ctr" anchorCtr="1"/>
        <a:lstStyle/>
        <a:p>
          <a:pPr>
            <a:defRPr sz="1440" b="1" i="0" u="none" strike="noStrike" kern="1200" spc="0" baseline="0">
              <a:solidFill>
                <a:schemeClr val="tx1"/>
              </a:solidFill>
              <a:latin typeface="Times New Roman" panose="02020603050405020304" pitchFamily="18" charset="0"/>
              <a:ea typeface="+mn-ea"/>
              <a:cs typeface="Times New Roman" panose="02020603050405020304" pitchFamily="18" charset="0"/>
            </a:defRPr>
          </a:pPr>
          <a:endParaRPr lang="lt-LT"/>
        </a:p>
      </c:txPr>
    </c:title>
    <c:autoTitleDeleted val="0"/>
    <c:plotArea>
      <c:layout>
        <c:manualLayout>
          <c:layoutTarget val="inner"/>
          <c:xMode val="edge"/>
          <c:yMode val="edge"/>
          <c:x val="0.1097531033569604"/>
          <c:y val="0.12340245435726027"/>
          <c:w val="0.81829984567901248"/>
          <c:h val="0.48786805555555546"/>
        </c:manualLayout>
      </c:layout>
      <c:barChart>
        <c:barDir val="col"/>
        <c:grouping val="clustered"/>
        <c:varyColors val="0"/>
        <c:ser>
          <c:idx val="0"/>
          <c:order val="0"/>
          <c:tx>
            <c:strRef>
              <c:f>'[1]2024 m'!$B$3</c:f>
              <c:strCache>
                <c:ptCount val="1"/>
                <c:pt idx="0">
                  <c:v>Priemonė buvo įvykdyta pagal planą</c:v>
                </c:pt>
              </c:strCache>
            </c:strRef>
          </c:tx>
          <c:spPr>
            <a:solidFill>
              <a:srgbClr val="E2EFDA"/>
            </a:solidFill>
            <a:ln>
              <a:solidFill>
                <a:srgbClr val="E2EFDA"/>
              </a:solidFill>
            </a:ln>
            <a:effectLst/>
            <a:scene3d>
              <a:camera prst="orthographicFront"/>
              <a:lightRig rig="threePt" dir="t"/>
            </a:scene3d>
            <a:sp3d>
              <a:bevelT/>
            </a:sp3d>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lt-LT"/>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'[1]2024 m'!$C$2:$D$2</c:f>
              <c:numCache>
                <c:formatCode>General</c:formatCode>
                <c:ptCount val="2"/>
                <c:pt idx="0">
                  <c:v>2023</c:v>
                </c:pt>
                <c:pt idx="1">
                  <c:v>2024</c:v>
                </c:pt>
              </c:numCache>
            </c:numRef>
          </c:cat>
          <c:val>
            <c:numRef>
              <c:f>'[1]2024 m'!$C$3:$D$3</c:f>
              <c:numCache>
                <c:formatCode>General</c:formatCode>
                <c:ptCount val="2"/>
                <c:pt idx="0">
                  <c:v>0</c:v>
                </c:pt>
                <c:pt idx="1">
                  <c:v>1</c:v>
                </c:pt>
              </c:numCache>
            </c:numRef>
          </c:val>
          <c:extLst>
            <c:ext xmlns:c16="http://schemas.microsoft.com/office/drawing/2014/chart" uri="{C3380CC4-5D6E-409C-BE32-E72D297353CC}">
              <c16:uniqueId val="{00000000-EC60-4D52-96CC-DC8C21BCF217}"/>
            </c:ext>
          </c:extLst>
        </c:ser>
        <c:ser>
          <c:idx val="1"/>
          <c:order val="1"/>
          <c:tx>
            <c:strRef>
              <c:f>'[1]2024 m'!$B$4</c:f>
              <c:strCache>
                <c:ptCount val="1"/>
                <c:pt idx="0">
                  <c:v>Vykdant priemonę buvo pasiekta vertinimo kriterijų reikšmių mažiau nei 50 %</c:v>
                </c:pt>
              </c:strCache>
            </c:strRef>
          </c:tx>
          <c:spPr>
            <a:solidFill>
              <a:srgbClr val="FFCCCC"/>
            </a:solidFill>
            <a:ln>
              <a:solidFill>
                <a:srgbClr val="FFCCCC"/>
              </a:solidFill>
            </a:ln>
            <a:effectLst/>
            <a:scene3d>
              <a:camera prst="orthographicFront"/>
              <a:lightRig rig="threePt" dir="t"/>
            </a:scene3d>
            <a:sp3d>
              <a:bevelT/>
            </a:sp3d>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lt-LT"/>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'[1]2024 m'!$C$2:$D$2</c:f>
              <c:numCache>
                <c:formatCode>General</c:formatCode>
                <c:ptCount val="2"/>
                <c:pt idx="0">
                  <c:v>2023</c:v>
                </c:pt>
                <c:pt idx="1">
                  <c:v>2024</c:v>
                </c:pt>
              </c:numCache>
            </c:numRef>
          </c:cat>
          <c:val>
            <c:numRef>
              <c:f>'[1]2024 m'!$C$4:$D$4</c:f>
              <c:numCache>
                <c:formatCode>General</c:formatCode>
                <c:ptCount val="2"/>
                <c:pt idx="0">
                  <c:v>2</c:v>
                </c:pt>
                <c:pt idx="1">
                  <c:v>1</c:v>
                </c:pt>
              </c:numCache>
            </c:numRef>
          </c:val>
          <c:extLst>
            <c:ext xmlns:c16="http://schemas.microsoft.com/office/drawing/2014/chart" uri="{C3380CC4-5D6E-409C-BE32-E72D297353CC}">
              <c16:uniqueId val="{00000001-EC60-4D52-96CC-DC8C21BCF217}"/>
            </c:ext>
          </c:extLst>
        </c:ser>
        <c:ser>
          <c:idx val="2"/>
          <c:order val="2"/>
          <c:tx>
            <c:strRef>
              <c:f>'[1]2024 m'!$B$5</c:f>
              <c:strCache>
                <c:ptCount val="1"/>
                <c:pt idx="0">
                  <c:v>Vykdant priemonę buvo pasiekta vertinimo kriterijų reikšmių 50 % ir daugiau</c:v>
                </c:pt>
              </c:strCache>
            </c:strRef>
          </c:tx>
          <c:spPr>
            <a:solidFill>
              <a:srgbClr val="FFC000"/>
            </a:solidFill>
            <a:ln>
              <a:solidFill>
                <a:srgbClr val="FFC000"/>
              </a:solidFill>
            </a:ln>
            <a:effectLst/>
            <a:scene3d>
              <a:camera prst="orthographicFront"/>
              <a:lightRig rig="threePt" dir="t"/>
            </a:scene3d>
            <a:sp3d>
              <a:bevelT/>
            </a:sp3d>
          </c:spPr>
          <c:invertIfNegative val="0"/>
          <c:dLbls>
            <c:dLbl>
              <c:idx val="1"/>
              <c:layout>
                <c:manualLayout>
                  <c:x val="-1.959876845660007E-3"/>
                  <c:y val="2.8082396848048952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EC60-4D52-96CC-DC8C21BCF217}"/>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lt-LT"/>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'[1]2024 m'!$C$2:$D$2</c:f>
              <c:numCache>
                <c:formatCode>General</c:formatCode>
                <c:ptCount val="2"/>
                <c:pt idx="0">
                  <c:v>2023</c:v>
                </c:pt>
                <c:pt idx="1">
                  <c:v>2024</c:v>
                </c:pt>
              </c:numCache>
            </c:numRef>
          </c:cat>
          <c:val>
            <c:numRef>
              <c:f>'[1]2024 m'!$C$5:$D$5</c:f>
              <c:numCache>
                <c:formatCode>General</c:formatCode>
                <c:ptCount val="2"/>
                <c:pt idx="0">
                  <c:v>4</c:v>
                </c:pt>
                <c:pt idx="1">
                  <c:v>4</c:v>
                </c:pt>
              </c:numCache>
            </c:numRef>
          </c:val>
          <c:extLst>
            <c:ext xmlns:c16="http://schemas.microsoft.com/office/drawing/2014/chart" uri="{C3380CC4-5D6E-409C-BE32-E72D297353CC}">
              <c16:uniqueId val="{00000003-EC60-4D52-96CC-DC8C21BCF217}"/>
            </c:ext>
          </c:extLst>
        </c:ser>
        <c:ser>
          <c:idx val="3"/>
          <c:order val="3"/>
          <c:tx>
            <c:strRef>
              <c:f>'[1]2024 m'!$B$6</c:f>
              <c:strCache>
                <c:ptCount val="1"/>
                <c:pt idx="0">
                  <c:v>Vykdant priemonę buvo pasiekta daugiau vertinimo kriterijų reikšmių nei planuota</c:v>
                </c:pt>
              </c:strCache>
            </c:strRef>
          </c:tx>
          <c:spPr>
            <a:solidFill>
              <a:schemeClr val="bg1">
                <a:lumMod val="85000"/>
              </a:schemeClr>
            </a:solidFill>
            <a:ln>
              <a:solidFill>
                <a:schemeClr val="bg1">
                  <a:lumMod val="85000"/>
                </a:schemeClr>
              </a:solidFill>
            </a:ln>
            <a:effectLst/>
            <a:scene3d>
              <a:camera prst="orthographicFront"/>
              <a:lightRig rig="threePt" dir="t"/>
            </a:scene3d>
            <a:sp3d>
              <a:bevelT/>
            </a:sp3d>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lt-LT"/>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'[1]2024 m'!$C$2:$D$2</c:f>
              <c:numCache>
                <c:formatCode>General</c:formatCode>
                <c:ptCount val="2"/>
                <c:pt idx="0">
                  <c:v>2023</c:v>
                </c:pt>
                <c:pt idx="1">
                  <c:v>2024</c:v>
                </c:pt>
              </c:numCache>
            </c:numRef>
          </c:cat>
          <c:val>
            <c:numRef>
              <c:f>'[1]2024 m'!$C$6:$D$6</c:f>
              <c:numCache>
                <c:formatCode>General</c:formatCode>
                <c:ptCount val="2"/>
                <c:pt idx="0">
                  <c:v>0</c:v>
                </c:pt>
                <c:pt idx="1">
                  <c:v>1</c:v>
                </c:pt>
              </c:numCache>
            </c:numRef>
          </c:val>
          <c:extLst>
            <c:ext xmlns:c16="http://schemas.microsoft.com/office/drawing/2014/chart" uri="{C3380CC4-5D6E-409C-BE32-E72D297353CC}">
              <c16:uniqueId val="{00000004-EC60-4D52-96CC-DC8C21BCF217}"/>
            </c:ext>
          </c:extLst>
        </c:ser>
        <c:ser>
          <c:idx val="4"/>
          <c:order val="4"/>
          <c:tx>
            <c:strRef>
              <c:f>'[1]2024 m'!$B$7</c:f>
              <c:strCache>
                <c:ptCount val="1"/>
                <c:pt idx="0">
                  <c:v>Priemonė neįvykdyta, t.y. nepasiekta planuota vertinimo kriterijų reikšmė</c:v>
                </c:pt>
              </c:strCache>
            </c:strRef>
          </c:tx>
          <c:spPr>
            <a:solidFill>
              <a:srgbClr val="FCE4D6"/>
            </a:solidFill>
            <a:ln>
              <a:solidFill>
                <a:srgbClr val="FCE4D6"/>
              </a:solidFill>
            </a:ln>
            <a:effectLst/>
            <a:scene3d>
              <a:camera prst="orthographicFront"/>
              <a:lightRig rig="threePt" dir="t"/>
            </a:scene3d>
            <a:sp3d>
              <a:bevelT/>
            </a:sp3d>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lt-LT"/>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'[1]2024 m'!$C$2:$D$2</c:f>
              <c:numCache>
                <c:formatCode>General</c:formatCode>
                <c:ptCount val="2"/>
                <c:pt idx="0">
                  <c:v>2023</c:v>
                </c:pt>
                <c:pt idx="1">
                  <c:v>2024</c:v>
                </c:pt>
              </c:numCache>
            </c:numRef>
          </c:cat>
          <c:val>
            <c:numRef>
              <c:f>'[1]2024 m'!$C$7:$D$7</c:f>
              <c:numCache>
                <c:formatCode>General</c:formatCode>
                <c:ptCount val="2"/>
                <c:pt idx="0">
                  <c:v>5</c:v>
                </c:pt>
                <c:pt idx="1">
                  <c:v>4</c:v>
                </c:pt>
              </c:numCache>
            </c:numRef>
          </c:val>
          <c:extLst>
            <c:ext xmlns:c16="http://schemas.microsoft.com/office/drawing/2014/chart" uri="{C3380CC4-5D6E-409C-BE32-E72D297353CC}">
              <c16:uniqueId val="{00000005-EC60-4D52-96CC-DC8C21BCF217}"/>
            </c:ext>
          </c:extLst>
        </c:ser>
        <c:dLbls>
          <c:showLegendKey val="0"/>
          <c:showVal val="0"/>
          <c:showCatName val="0"/>
          <c:showSerName val="0"/>
          <c:showPercent val="0"/>
          <c:showBubbleSize val="0"/>
        </c:dLbls>
        <c:gapWidth val="150"/>
        <c:axId val="1495728303"/>
        <c:axId val="1495744527"/>
      </c:barChart>
      <c:lineChart>
        <c:grouping val="standard"/>
        <c:varyColors val="0"/>
        <c:ser>
          <c:idx val="5"/>
          <c:order val="5"/>
          <c:tx>
            <c:strRef>
              <c:f>'[1]2024 m'!$B$8</c:f>
              <c:strCache>
                <c:ptCount val="1"/>
                <c:pt idx="0">
                  <c:v>Iš viso programų priemonių</c:v>
                </c:pt>
              </c:strCache>
            </c:strRef>
          </c:tx>
          <c:spPr>
            <a:ln w="28575" cap="rnd">
              <a:solidFill>
                <a:srgbClr val="FFC000"/>
              </a:solidFill>
              <a:round/>
            </a:ln>
            <a:effectLst/>
          </c:spPr>
          <c:marker>
            <c:symbol val="circle"/>
            <c:size val="7"/>
            <c:spPr>
              <a:solidFill>
                <a:srgbClr val="FFC000"/>
              </a:solidFill>
              <a:ln w="9525">
                <a:solidFill>
                  <a:schemeClr val="accent4"/>
                </a:solidFill>
              </a:ln>
              <a:effectLst/>
              <a:scene3d>
                <a:camera prst="orthographicFront"/>
                <a:lightRig rig="threePt" dir="t"/>
              </a:scene3d>
              <a:sp3d>
                <a:bevelT/>
              </a:sp3d>
            </c:spPr>
          </c:marker>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lt-LT"/>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'[1]2024 m'!$C$2:$D$2</c:f>
              <c:numCache>
                <c:formatCode>General</c:formatCode>
                <c:ptCount val="2"/>
                <c:pt idx="0">
                  <c:v>2023</c:v>
                </c:pt>
                <c:pt idx="1">
                  <c:v>2024</c:v>
                </c:pt>
              </c:numCache>
            </c:numRef>
          </c:cat>
          <c:val>
            <c:numRef>
              <c:f>'[1]2024 m'!$C$8:$D$8</c:f>
              <c:numCache>
                <c:formatCode>General</c:formatCode>
                <c:ptCount val="2"/>
                <c:pt idx="0">
                  <c:v>11</c:v>
                </c:pt>
                <c:pt idx="1">
                  <c:v>11</c:v>
                </c:pt>
              </c:numCache>
            </c:numRef>
          </c:val>
          <c:smooth val="0"/>
          <c:extLst>
            <c:ext xmlns:c16="http://schemas.microsoft.com/office/drawing/2014/chart" uri="{C3380CC4-5D6E-409C-BE32-E72D297353CC}">
              <c16:uniqueId val="{00000006-EC60-4D52-96CC-DC8C21BCF217}"/>
            </c:ext>
          </c:extLst>
        </c:ser>
        <c:dLbls>
          <c:showLegendKey val="0"/>
          <c:showVal val="0"/>
          <c:showCatName val="0"/>
          <c:showSerName val="0"/>
          <c:showPercent val="0"/>
          <c:showBubbleSize val="0"/>
        </c:dLbls>
        <c:marker val="1"/>
        <c:smooth val="0"/>
        <c:axId val="1632945087"/>
        <c:axId val="1632942591"/>
      </c:lineChart>
      <c:catAx>
        <c:axId val="1495728303"/>
        <c:scaling>
          <c:orientation val="minMax"/>
        </c:scaling>
        <c:delete val="0"/>
        <c:axPos val="b"/>
        <c:title>
          <c:tx>
            <c:rich>
              <a:bodyPr rot="0" spcFirstLastPara="1" vertOverflow="ellipsis" vert="horz" wrap="square" anchor="ctr" anchorCtr="1"/>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r>
                  <a:rPr lang="lt-LT"/>
                  <a:t>Metai</a:t>
                </a:r>
              </a:p>
            </c:rich>
          </c:tx>
          <c:layout>
            <c:manualLayout>
              <c:xMode val="edge"/>
              <c:yMode val="edge"/>
              <c:x val="0.48600648148148146"/>
              <c:y val="0.63521180555555556"/>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lt-LT"/>
            </a:p>
          </c:txPr>
        </c:title>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lt-LT"/>
          </a:p>
        </c:txPr>
        <c:crossAx val="1495744527"/>
        <c:crosses val="autoZero"/>
        <c:auto val="1"/>
        <c:lblAlgn val="ctr"/>
        <c:lblOffset val="100"/>
        <c:noMultiLvlLbl val="0"/>
      </c:catAx>
      <c:valAx>
        <c:axId val="1495744527"/>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r>
                  <a:rPr lang="lt-LT" sz="1200"/>
                  <a:t>Progamų priemonių skaičius</a:t>
                </a:r>
              </a:p>
            </c:rich>
          </c:tx>
          <c:layout>
            <c:manualLayout>
              <c:xMode val="edge"/>
              <c:yMode val="edge"/>
              <c:x val="1.0191358024691358E-2"/>
              <c:y val="0.15776712661357695"/>
            </c:manualLayout>
          </c:layout>
          <c:overlay val="0"/>
          <c:spPr>
            <a:noFill/>
            <a:ln>
              <a:noFill/>
            </a:ln>
            <a:effectLst/>
          </c:spPr>
          <c:txPr>
            <a:bodyPr rot="-5400000" spcFirstLastPara="1" vertOverflow="ellipsis" vert="horz" wrap="square" anchor="ctr" anchorCtr="1"/>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lt-LT"/>
            </a:p>
          </c:txPr>
        </c:title>
        <c:numFmt formatCode="General"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lt-LT"/>
          </a:p>
        </c:txPr>
        <c:crossAx val="1495728303"/>
        <c:crosses val="autoZero"/>
        <c:crossBetween val="between"/>
      </c:valAx>
      <c:valAx>
        <c:axId val="1632942591"/>
        <c:scaling>
          <c:orientation val="minMax"/>
        </c:scaling>
        <c:delete val="0"/>
        <c:axPos val="r"/>
        <c:title>
          <c:tx>
            <c:rich>
              <a:bodyPr rot="-5400000" spcFirstLastPara="1" vertOverflow="ellipsis" vert="horz" wrap="square" anchor="ctr" anchorCtr="1"/>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r>
                  <a:rPr lang="lt-LT"/>
                  <a:t>Programų</a:t>
                </a:r>
                <a:r>
                  <a:rPr lang="lt-LT" baseline="0"/>
                  <a:t> priemonių skaičius</a:t>
                </a:r>
                <a:endParaRPr lang="lt-LT"/>
              </a:p>
            </c:rich>
          </c:tx>
          <c:overlay val="0"/>
          <c:spPr>
            <a:noFill/>
            <a:ln>
              <a:noFill/>
            </a:ln>
            <a:effectLst/>
          </c:spPr>
          <c:txPr>
            <a:bodyPr rot="-5400000" spcFirstLastPara="1" vertOverflow="ellipsis" vert="horz" wrap="square" anchor="ctr" anchorCtr="1"/>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lt-LT"/>
            </a:p>
          </c:txPr>
        </c:title>
        <c:numFmt formatCode="General"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lt-LT"/>
          </a:p>
        </c:txPr>
        <c:crossAx val="1632945087"/>
        <c:crosses val="max"/>
        <c:crossBetween val="between"/>
      </c:valAx>
      <c:catAx>
        <c:axId val="1632945087"/>
        <c:scaling>
          <c:orientation val="minMax"/>
        </c:scaling>
        <c:delete val="1"/>
        <c:axPos val="b"/>
        <c:numFmt formatCode="General" sourceLinked="1"/>
        <c:majorTickMark val="out"/>
        <c:minorTickMark val="none"/>
        <c:tickLblPos val="nextTo"/>
        <c:crossAx val="1632942591"/>
        <c:crosses val="autoZero"/>
        <c:auto val="1"/>
        <c:lblAlgn val="ctr"/>
        <c:lblOffset val="100"/>
        <c:noMultiLvlLbl val="0"/>
      </c:catAx>
      <c:spPr>
        <a:solidFill>
          <a:schemeClr val="bg1">
            <a:lumMod val="95000"/>
          </a:schemeClr>
        </a:solidFill>
        <a:ln>
          <a:solidFill>
            <a:schemeClr val="tx1"/>
          </a:solidFill>
        </a:ln>
        <a:effectLst/>
      </c:spPr>
    </c:plotArea>
    <c:legend>
      <c:legendPos val="b"/>
      <c:layout>
        <c:manualLayout>
          <c:xMode val="edge"/>
          <c:yMode val="edge"/>
          <c:x val="4.7813278983530709E-2"/>
          <c:y val="0.69035862768623613"/>
          <c:w val="0.92355570987654323"/>
          <c:h val="0.29560017388973925"/>
        </c:manualLayout>
      </c:layout>
      <c:overlay val="0"/>
      <c:spPr>
        <a:solidFill>
          <a:sysClr val="window" lastClr="FFFFFF">
            <a:lumMod val="95000"/>
          </a:sysClr>
        </a:solidFill>
        <a:ln>
          <a:noFill/>
        </a:ln>
        <a:effectLst/>
      </c:spPr>
      <c:txPr>
        <a:bodyPr rot="0" spcFirstLastPara="1" vertOverflow="ellipsis" vert="horz" wrap="square" anchor="ctr" anchorCtr="1"/>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lt-LT"/>
        </a:p>
      </c:txPr>
    </c:legend>
    <c:plotVisOnly val="1"/>
    <c:dispBlanksAs val="gap"/>
    <c:showDLblsOverMax val="0"/>
  </c:chart>
  <c:spPr>
    <a:solidFill>
      <a:schemeClr val="bg1">
        <a:lumMod val="85000"/>
      </a:schemeClr>
    </a:solidFill>
    <a:ln w="9525" cap="flat" cmpd="sng" algn="ctr">
      <a:solidFill>
        <a:schemeClr val="tx1">
          <a:lumMod val="15000"/>
          <a:lumOff val="85000"/>
        </a:schemeClr>
      </a:solidFill>
      <a:round/>
    </a:ln>
    <a:effectLst/>
  </c:spPr>
  <c:txPr>
    <a:bodyPr/>
    <a:lstStyle/>
    <a:p>
      <a:pPr>
        <a:defRPr sz="1200">
          <a:solidFill>
            <a:schemeClr val="tx1"/>
          </a:solidFill>
          <a:latin typeface="Times New Roman" panose="02020603050405020304" pitchFamily="18" charset="0"/>
          <a:cs typeface="Times New Roman" panose="02020603050405020304" pitchFamily="18" charset="0"/>
        </a:defRPr>
      </a:pPr>
      <a:endParaRPr lang="lt-LT"/>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1" i="0" u="none" strike="noStrike" kern="1200" spc="0" baseline="0">
                <a:solidFill>
                  <a:schemeClr val="tx1"/>
                </a:solidFill>
                <a:latin typeface="Times New Roman" panose="02020603050405020304" pitchFamily="18" charset="0"/>
                <a:ea typeface="+mn-ea"/>
                <a:cs typeface="Times New Roman" panose="02020603050405020304" pitchFamily="18" charset="0"/>
              </a:defRPr>
            </a:pPr>
            <a:r>
              <a:rPr lang="lt-LT" b="1"/>
              <a:t>2024 m. 10 programos vykdymo palyginimas su 2023 m.</a:t>
            </a:r>
          </a:p>
        </c:rich>
      </c:tx>
      <c:overlay val="0"/>
      <c:spPr>
        <a:noFill/>
        <a:ln>
          <a:noFill/>
        </a:ln>
        <a:effectLst/>
      </c:spPr>
      <c:txPr>
        <a:bodyPr rot="0" spcFirstLastPara="1" vertOverflow="ellipsis" vert="horz" wrap="square" anchor="ctr" anchorCtr="1"/>
        <a:lstStyle/>
        <a:p>
          <a:pPr>
            <a:defRPr sz="1440" b="1" i="0" u="none" strike="noStrike" kern="1200" spc="0" baseline="0">
              <a:solidFill>
                <a:schemeClr val="tx1"/>
              </a:solidFill>
              <a:latin typeface="Times New Roman" panose="02020603050405020304" pitchFamily="18" charset="0"/>
              <a:ea typeface="+mn-ea"/>
              <a:cs typeface="Times New Roman" panose="02020603050405020304" pitchFamily="18" charset="0"/>
            </a:defRPr>
          </a:pPr>
          <a:endParaRPr lang="lt-LT"/>
        </a:p>
      </c:txPr>
    </c:title>
    <c:autoTitleDeleted val="0"/>
    <c:plotArea>
      <c:layout>
        <c:manualLayout>
          <c:layoutTarget val="inner"/>
          <c:xMode val="edge"/>
          <c:yMode val="edge"/>
          <c:x val="9.2114197530864195E-2"/>
          <c:y val="0.10936134259259259"/>
          <c:w val="0.81829984567901248"/>
          <c:h val="0.48786805555555546"/>
        </c:manualLayout>
      </c:layout>
      <c:barChart>
        <c:barDir val="col"/>
        <c:grouping val="clustered"/>
        <c:varyColors val="0"/>
        <c:ser>
          <c:idx val="0"/>
          <c:order val="0"/>
          <c:tx>
            <c:strRef>
              <c:f>'[1]2024 m'!$B$102</c:f>
              <c:strCache>
                <c:ptCount val="1"/>
                <c:pt idx="0">
                  <c:v>Priemonė buvo įvykdyta pagal planą</c:v>
                </c:pt>
              </c:strCache>
            </c:strRef>
          </c:tx>
          <c:spPr>
            <a:solidFill>
              <a:srgbClr val="E2EFDA"/>
            </a:solidFill>
            <a:ln>
              <a:noFill/>
            </a:ln>
            <a:effectLst/>
            <a:scene3d>
              <a:camera prst="orthographicFront"/>
              <a:lightRig rig="threePt" dir="t"/>
            </a:scene3d>
            <a:sp3d>
              <a:bevelT/>
            </a:sp3d>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lt-LT"/>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'[1]2024 m'!$C$101:$D$101</c:f>
              <c:numCache>
                <c:formatCode>General</c:formatCode>
                <c:ptCount val="2"/>
                <c:pt idx="0">
                  <c:v>2023</c:v>
                </c:pt>
                <c:pt idx="1">
                  <c:v>2024</c:v>
                </c:pt>
              </c:numCache>
            </c:numRef>
          </c:cat>
          <c:val>
            <c:numRef>
              <c:f>'[1]2024 m'!$C$102:$D$102</c:f>
              <c:numCache>
                <c:formatCode>General</c:formatCode>
                <c:ptCount val="2"/>
                <c:pt idx="0">
                  <c:v>13</c:v>
                </c:pt>
                <c:pt idx="1">
                  <c:v>11</c:v>
                </c:pt>
              </c:numCache>
            </c:numRef>
          </c:val>
          <c:extLst>
            <c:ext xmlns:c16="http://schemas.microsoft.com/office/drawing/2014/chart" uri="{C3380CC4-5D6E-409C-BE32-E72D297353CC}">
              <c16:uniqueId val="{00000000-43E3-482B-86B2-1897BE30CF73}"/>
            </c:ext>
          </c:extLst>
        </c:ser>
        <c:ser>
          <c:idx val="1"/>
          <c:order val="1"/>
          <c:tx>
            <c:strRef>
              <c:f>'[1]2024 m'!$B$103</c:f>
              <c:strCache>
                <c:ptCount val="1"/>
                <c:pt idx="0">
                  <c:v>Vykdant priemonę buvo pasiekta vertinimo kriterijų reikšmių mažiau nei 50 %</c:v>
                </c:pt>
              </c:strCache>
            </c:strRef>
          </c:tx>
          <c:spPr>
            <a:solidFill>
              <a:srgbClr val="FFFFCC"/>
            </a:solidFill>
            <a:ln>
              <a:solidFill>
                <a:srgbClr val="FFCCCC"/>
              </a:solidFill>
            </a:ln>
            <a:effectLst/>
            <a:scene3d>
              <a:camera prst="orthographicFront"/>
              <a:lightRig rig="threePt" dir="t"/>
            </a:scene3d>
            <a:sp3d>
              <a:bevelT/>
            </a:sp3d>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lt-LT"/>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'[1]2024 m'!$C$101:$D$101</c:f>
              <c:numCache>
                <c:formatCode>General</c:formatCode>
                <c:ptCount val="2"/>
                <c:pt idx="0">
                  <c:v>2023</c:v>
                </c:pt>
                <c:pt idx="1">
                  <c:v>2024</c:v>
                </c:pt>
              </c:numCache>
            </c:numRef>
          </c:cat>
          <c:val>
            <c:numRef>
              <c:f>'[1]2024 m'!$C$103:$D$103</c:f>
              <c:numCache>
                <c:formatCode>General</c:formatCode>
                <c:ptCount val="2"/>
                <c:pt idx="0">
                  <c:v>0</c:v>
                </c:pt>
                <c:pt idx="1">
                  <c:v>0</c:v>
                </c:pt>
              </c:numCache>
            </c:numRef>
          </c:val>
          <c:extLst>
            <c:ext xmlns:c16="http://schemas.microsoft.com/office/drawing/2014/chart" uri="{C3380CC4-5D6E-409C-BE32-E72D297353CC}">
              <c16:uniqueId val="{00000001-43E3-482B-86B2-1897BE30CF73}"/>
            </c:ext>
          </c:extLst>
        </c:ser>
        <c:ser>
          <c:idx val="2"/>
          <c:order val="2"/>
          <c:tx>
            <c:strRef>
              <c:f>'[1]2024 m'!$B$104</c:f>
              <c:strCache>
                <c:ptCount val="1"/>
                <c:pt idx="0">
                  <c:v>Vykdant priemonę buvo pasiekta vertinimo kriterijų reikšmių 50 % ir daugiau</c:v>
                </c:pt>
              </c:strCache>
            </c:strRef>
          </c:tx>
          <c:spPr>
            <a:solidFill>
              <a:srgbClr val="FFC000"/>
            </a:solidFill>
            <a:ln>
              <a:noFill/>
            </a:ln>
            <a:effectLst/>
            <a:scene3d>
              <a:camera prst="orthographicFront"/>
              <a:lightRig rig="threePt" dir="t"/>
            </a:scene3d>
            <a:sp3d>
              <a:bevelT/>
            </a:sp3d>
          </c:spPr>
          <c:invertIfNegative val="0"/>
          <c:dLbls>
            <c:dLbl>
              <c:idx val="0"/>
              <c:layout>
                <c:manualLayout>
                  <c:x val="1.3719171580257329E-2"/>
                  <c:y val="1.712658387311065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43E3-482B-86B2-1897BE30CF73}"/>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lt-LT"/>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'[1]2024 m'!$C$101:$D$101</c:f>
              <c:numCache>
                <c:formatCode>General</c:formatCode>
                <c:ptCount val="2"/>
                <c:pt idx="0">
                  <c:v>2023</c:v>
                </c:pt>
                <c:pt idx="1">
                  <c:v>2024</c:v>
                </c:pt>
              </c:numCache>
            </c:numRef>
          </c:cat>
          <c:val>
            <c:numRef>
              <c:f>'[1]2024 m'!$C$104:$D$104</c:f>
              <c:numCache>
                <c:formatCode>General</c:formatCode>
                <c:ptCount val="2"/>
                <c:pt idx="0">
                  <c:v>4</c:v>
                </c:pt>
                <c:pt idx="1">
                  <c:v>7</c:v>
                </c:pt>
              </c:numCache>
            </c:numRef>
          </c:val>
          <c:extLst>
            <c:ext xmlns:c16="http://schemas.microsoft.com/office/drawing/2014/chart" uri="{C3380CC4-5D6E-409C-BE32-E72D297353CC}">
              <c16:uniqueId val="{00000003-43E3-482B-86B2-1897BE30CF73}"/>
            </c:ext>
          </c:extLst>
        </c:ser>
        <c:ser>
          <c:idx val="3"/>
          <c:order val="3"/>
          <c:tx>
            <c:strRef>
              <c:f>'[1]2024 m'!$B$105</c:f>
              <c:strCache>
                <c:ptCount val="1"/>
                <c:pt idx="0">
                  <c:v>Vykdant priemonę buvo pasiekta daugiau vertinimo kriterijų reikšmių nei planuota</c:v>
                </c:pt>
              </c:strCache>
            </c:strRef>
          </c:tx>
          <c:spPr>
            <a:solidFill>
              <a:schemeClr val="bg1">
                <a:lumMod val="85000"/>
              </a:schemeClr>
            </a:solidFill>
            <a:ln>
              <a:noFill/>
            </a:ln>
            <a:effectLst/>
            <a:scene3d>
              <a:camera prst="orthographicFront"/>
              <a:lightRig rig="threePt" dir="t"/>
            </a:scene3d>
            <a:sp3d>
              <a:bevelT/>
            </a:sp3d>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lt-LT"/>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'[1]2024 m'!$C$101:$D$101</c:f>
              <c:numCache>
                <c:formatCode>General</c:formatCode>
                <c:ptCount val="2"/>
                <c:pt idx="0">
                  <c:v>2023</c:v>
                </c:pt>
                <c:pt idx="1">
                  <c:v>2024</c:v>
                </c:pt>
              </c:numCache>
            </c:numRef>
          </c:cat>
          <c:val>
            <c:numRef>
              <c:f>'[1]2024 m'!$C$105:$D$105</c:f>
              <c:numCache>
                <c:formatCode>General</c:formatCode>
                <c:ptCount val="2"/>
                <c:pt idx="0">
                  <c:v>8</c:v>
                </c:pt>
                <c:pt idx="1">
                  <c:v>8</c:v>
                </c:pt>
              </c:numCache>
            </c:numRef>
          </c:val>
          <c:extLst>
            <c:ext xmlns:c16="http://schemas.microsoft.com/office/drawing/2014/chart" uri="{C3380CC4-5D6E-409C-BE32-E72D297353CC}">
              <c16:uniqueId val="{00000004-43E3-482B-86B2-1897BE30CF73}"/>
            </c:ext>
          </c:extLst>
        </c:ser>
        <c:ser>
          <c:idx val="4"/>
          <c:order val="4"/>
          <c:tx>
            <c:strRef>
              <c:f>'[1]2024 m'!$B$106</c:f>
              <c:strCache>
                <c:ptCount val="1"/>
                <c:pt idx="0">
                  <c:v>Priemonė neįvykdyta, t.y. nepasiekta planuota vertinimo kriterijų reikšmė</c:v>
                </c:pt>
              </c:strCache>
            </c:strRef>
          </c:tx>
          <c:spPr>
            <a:solidFill>
              <a:srgbClr val="FCE4D6"/>
            </a:solidFill>
            <a:ln>
              <a:solidFill>
                <a:srgbClr val="FCE4D6"/>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lt-LT"/>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'[1]2024 m'!$C$101:$D$101</c:f>
              <c:numCache>
                <c:formatCode>General</c:formatCode>
                <c:ptCount val="2"/>
                <c:pt idx="0">
                  <c:v>2023</c:v>
                </c:pt>
                <c:pt idx="1">
                  <c:v>2024</c:v>
                </c:pt>
              </c:numCache>
            </c:numRef>
          </c:cat>
          <c:val>
            <c:numRef>
              <c:f>'[1]2024 m'!$C$106:$D$106</c:f>
              <c:numCache>
                <c:formatCode>General</c:formatCode>
                <c:ptCount val="2"/>
                <c:pt idx="0">
                  <c:v>0</c:v>
                </c:pt>
                <c:pt idx="1">
                  <c:v>0</c:v>
                </c:pt>
              </c:numCache>
            </c:numRef>
          </c:val>
          <c:extLst>
            <c:ext xmlns:c16="http://schemas.microsoft.com/office/drawing/2014/chart" uri="{C3380CC4-5D6E-409C-BE32-E72D297353CC}">
              <c16:uniqueId val="{00000005-43E3-482B-86B2-1897BE30CF73}"/>
            </c:ext>
          </c:extLst>
        </c:ser>
        <c:dLbls>
          <c:showLegendKey val="0"/>
          <c:showVal val="1"/>
          <c:showCatName val="0"/>
          <c:showSerName val="0"/>
          <c:showPercent val="0"/>
          <c:showBubbleSize val="0"/>
        </c:dLbls>
        <c:gapWidth val="150"/>
        <c:axId val="1495728303"/>
        <c:axId val="1495744527"/>
      </c:barChart>
      <c:lineChart>
        <c:grouping val="standard"/>
        <c:varyColors val="0"/>
        <c:ser>
          <c:idx val="5"/>
          <c:order val="5"/>
          <c:tx>
            <c:strRef>
              <c:f>'[1]2024 m'!$B$107</c:f>
              <c:strCache>
                <c:ptCount val="1"/>
                <c:pt idx="0">
                  <c:v>Iš viso programų priemonių</c:v>
                </c:pt>
              </c:strCache>
            </c:strRef>
          </c:tx>
          <c:spPr>
            <a:ln w="28575" cap="rnd">
              <a:solidFill>
                <a:srgbClr val="FFC000"/>
              </a:solidFill>
              <a:round/>
            </a:ln>
            <a:effectLst/>
          </c:spPr>
          <c:marker>
            <c:symbol val="circle"/>
            <c:size val="7"/>
            <c:spPr>
              <a:solidFill>
                <a:schemeClr val="accent4">
                  <a:lumMod val="60000"/>
                  <a:lumOff val="40000"/>
                </a:schemeClr>
              </a:solidFill>
              <a:ln w="9525">
                <a:solidFill>
                  <a:schemeClr val="accent4"/>
                </a:solidFill>
              </a:ln>
              <a:effectLst/>
              <a:scene3d>
                <a:camera prst="orthographicFront"/>
                <a:lightRig rig="threePt" dir="t"/>
              </a:scene3d>
              <a:sp3d>
                <a:bevelT/>
              </a:sp3d>
            </c:spPr>
          </c:marker>
          <c:dLbls>
            <c:dLbl>
              <c:idx val="0"/>
              <c:layout>
                <c:manualLayout>
                  <c:x val="-3.3317906376220154E-2"/>
                  <c:y val="-3.931535558726930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43E3-482B-86B2-1897BE30CF73}"/>
                </c:ext>
              </c:extLst>
            </c:dLbl>
            <c:dLbl>
              <c:idx val="1"/>
              <c:layout>
                <c:manualLayout>
                  <c:x val="-3.1358029530560112E-2"/>
                  <c:y val="-4.212359527207421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43E3-482B-86B2-1897BE30CF73}"/>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lt-LT"/>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'[1]2024 m'!$C$101:$D$101</c:f>
              <c:numCache>
                <c:formatCode>General</c:formatCode>
                <c:ptCount val="2"/>
                <c:pt idx="0">
                  <c:v>2023</c:v>
                </c:pt>
                <c:pt idx="1">
                  <c:v>2024</c:v>
                </c:pt>
              </c:numCache>
            </c:numRef>
          </c:cat>
          <c:val>
            <c:numRef>
              <c:f>'[1]2024 m'!$C$107:$D$107</c:f>
              <c:numCache>
                <c:formatCode>General</c:formatCode>
                <c:ptCount val="2"/>
                <c:pt idx="0">
                  <c:v>25</c:v>
                </c:pt>
                <c:pt idx="1">
                  <c:v>26</c:v>
                </c:pt>
              </c:numCache>
            </c:numRef>
          </c:val>
          <c:smooth val="0"/>
          <c:extLst>
            <c:ext xmlns:c16="http://schemas.microsoft.com/office/drawing/2014/chart" uri="{C3380CC4-5D6E-409C-BE32-E72D297353CC}">
              <c16:uniqueId val="{00000008-43E3-482B-86B2-1897BE30CF73}"/>
            </c:ext>
          </c:extLst>
        </c:ser>
        <c:dLbls>
          <c:showLegendKey val="0"/>
          <c:showVal val="1"/>
          <c:showCatName val="0"/>
          <c:showSerName val="0"/>
          <c:showPercent val="0"/>
          <c:showBubbleSize val="0"/>
        </c:dLbls>
        <c:marker val="1"/>
        <c:smooth val="0"/>
        <c:axId val="1632945087"/>
        <c:axId val="1632942591"/>
      </c:lineChart>
      <c:catAx>
        <c:axId val="1495728303"/>
        <c:scaling>
          <c:orientation val="minMax"/>
        </c:scaling>
        <c:delete val="0"/>
        <c:axPos val="b"/>
        <c:title>
          <c:tx>
            <c:rich>
              <a:bodyPr rot="0" spcFirstLastPara="1" vertOverflow="ellipsis" vert="horz" wrap="square" anchor="ctr" anchorCtr="1"/>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r>
                  <a:rPr lang="lt-LT"/>
                  <a:t>Metai</a:t>
                </a:r>
              </a:p>
            </c:rich>
          </c:tx>
          <c:layout>
            <c:manualLayout>
              <c:xMode val="edge"/>
              <c:yMode val="edge"/>
              <c:x val="0.48600648148148146"/>
              <c:y val="0.63521180555555556"/>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lt-LT"/>
            </a:p>
          </c:txPr>
        </c:title>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lt-LT"/>
          </a:p>
        </c:txPr>
        <c:crossAx val="1495744527"/>
        <c:crosses val="autoZero"/>
        <c:auto val="1"/>
        <c:lblAlgn val="ctr"/>
        <c:lblOffset val="100"/>
        <c:noMultiLvlLbl val="0"/>
      </c:catAx>
      <c:valAx>
        <c:axId val="1495744527"/>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r>
                  <a:rPr lang="lt-LT" sz="1200"/>
                  <a:t>Progamų priemonių skaičius</a:t>
                </a:r>
              </a:p>
            </c:rich>
          </c:tx>
          <c:layout>
            <c:manualLayout>
              <c:xMode val="edge"/>
              <c:yMode val="edge"/>
              <c:x val="1.0191358024691358E-2"/>
              <c:y val="0.15776712661357695"/>
            </c:manualLayout>
          </c:layout>
          <c:overlay val="0"/>
          <c:spPr>
            <a:noFill/>
            <a:ln>
              <a:noFill/>
            </a:ln>
            <a:effectLst/>
          </c:spPr>
          <c:txPr>
            <a:bodyPr rot="-5400000" spcFirstLastPara="1" vertOverflow="ellipsis" vert="horz" wrap="square" anchor="ctr" anchorCtr="1"/>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lt-LT"/>
            </a:p>
          </c:txPr>
        </c:title>
        <c:numFmt formatCode="General"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lt-LT"/>
          </a:p>
        </c:txPr>
        <c:crossAx val="1495728303"/>
        <c:crosses val="autoZero"/>
        <c:crossBetween val="between"/>
      </c:valAx>
      <c:valAx>
        <c:axId val="1632942591"/>
        <c:scaling>
          <c:orientation val="minMax"/>
        </c:scaling>
        <c:delete val="0"/>
        <c:axPos val="r"/>
        <c:title>
          <c:tx>
            <c:rich>
              <a:bodyPr rot="-5400000" spcFirstLastPara="1" vertOverflow="ellipsis" vert="horz" wrap="square" anchor="ctr" anchorCtr="1"/>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r>
                  <a:rPr lang="lt-LT"/>
                  <a:t>Programų</a:t>
                </a:r>
                <a:r>
                  <a:rPr lang="lt-LT" baseline="0"/>
                  <a:t> priemonių skaičius</a:t>
                </a:r>
                <a:endParaRPr lang="lt-LT"/>
              </a:p>
            </c:rich>
          </c:tx>
          <c:overlay val="0"/>
          <c:spPr>
            <a:noFill/>
            <a:ln>
              <a:noFill/>
            </a:ln>
            <a:effectLst/>
          </c:spPr>
          <c:txPr>
            <a:bodyPr rot="-5400000" spcFirstLastPara="1" vertOverflow="ellipsis" vert="horz" wrap="square" anchor="ctr" anchorCtr="1"/>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lt-LT"/>
            </a:p>
          </c:txPr>
        </c:title>
        <c:numFmt formatCode="General"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lt-LT"/>
          </a:p>
        </c:txPr>
        <c:crossAx val="1632945087"/>
        <c:crosses val="max"/>
        <c:crossBetween val="between"/>
      </c:valAx>
      <c:catAx>
        <c:axId val="1632945087"/>
        <c:scaling>
          <c:orientation val="minMax"/>
        </c:scaling>
        <c:delete val="1"/>
        <c:axPos val="b"/>
        <c:numFmt formatCode="General" sourceLinked="1"/>
        <c:majorTickMark val="out"/>
        <c:minorTickMark val="none"/>
        <c:tickLblPos val="nextTo"/>
        <c:crossAx val="1632942591"/>
        <c:crosses val="autoZero"/>
        <c:auto val="1"/>
        <c:lblAlgn val="ctr"/>
        <c:lblOffset val="100"/>
        <c:noMultiLvlLbl val="0"/>
      </c:catAx>
      <c:spPr>
        <a:solidFill>
          <a:schemeClr val="bg1">
            <a:lumMod val="95000"/>
          </a:schemeClr>
        </a:solidFill>
        <a:ln>
          <a:noFill/>
        </a:ln>
        <a:effectLst/>
      </c:spPr>
    </c:plotArea>
    <c:legend>
      <c:legendPos val="b"/>
      <c:layout>
        <c:manualLayout>
          <c:xMode val="edge"/>
          <c:yMode val="edge"/>
          <c:x val="3.9973771600890676E-2"/>
          <c:y val="0.6875503880014312"/>
          <c:w val="0.92355570987654323"/>
          <c:h val="0.29560017388973925"/>
        </c:manualLayout>
      </c:layout>
      <c:overlay val="0"/>
      <c:spPr>
        <a:solidFill>
          <a:schemeClr val="bg1">
            <a:lumMod val="95000"/>
          </a:schemeClr>
        </a:solidFill>
        <a:ln>
          <a:noFill/>
        </a:ln>
        <a:effectLst/>
      </c:spPr>
      <c:txPr>
        <a:bodyPr rot="0" spcFirstLastPara="1" vertOverflow="ellipsis" vert="horz" wrap="square" anchor="ctr" anchorCtr="1"/>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lt-LT"/>
        </a:p>
      </c:txPr>
    </c:legend>
    <c:plotVisOnly val="1"/>
    <c:dispBlanksAs val="gap"/>
    <c:showDLblsOverMax val="0"/>
  </c:chart>
  <c:spPr>
    <a:solidFill>
      <a:schemeClr val="bg1">
        <a:lumMod val="85000"/>
      </a:schemeClr>
    </a:solidFill>
    <a:ln w="9525" cap="flat" cmpd="sng" algn="ctr">
      <a:solidFill>
        <a:schemeClr val="tx1">
          <a:lumMod val="15000"/>
          <a:lumOff val="85000"/>
        </a:schemeClr>
      </a:solidFill>
      <a:round/>
    </a:ln>
    <a:effectLst/>
  </c:spPr>
  <c:txPr>
    <a:bodyPr/>
    <a:lstStyle/>
    <a:p>
      <a:pPr>
        <a:defRPr sz="1200">
          <a:solidFill>
            <a:schemeClr val="tx1"/>
          </a:solidFill>
          <a:latin typeface="Times New Roman" panose="02020603050405020304" pitchFamily="18" charset="0"/>
          <a:cs typeface="Times New Roman" panose="02020603050405020304" pitchFamily="18" charset="0"/>
        </a:defRPr>
      </a:pPr>
      <a:endParaRPr lang="lt-LT"/>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a:defRPr sz="1400" b="1" i="0" u="none" strike="noStrike" kern="1200" spc="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r>
              <a:rPr lang="lt-LT" b="1">
                <a:latin typeface="Times New Roman" panose="02020603050405020304" pitchFamily="18" charset="0"/>
                <a:cs typeface="Times New Roman" panose="02020603050405020304" pitchFamily="18" charset="0"/>
              </a:rPr>
              <a:t>11 programos vykdymas</a:t>
            </a:r>
            <a:endParaRPr lang="en-US" b="1">
              <a:latin typeface="Times New Roman" panose="02020603050405020304" pitchFamily="18" charset="0"/>
              <a:cs typeface="Times New Roman" panose="02020603050405020304" pitchFamily="18" charset="0"/>
            </a:endParaRPr>
          </a:p>
        </c:rich>
      </c:tx>
      <c:layout>
        <c:manualLayout>
          <c:xMode val="edge"/>
          <c:yMode val="edge"/>
          <c:x val="0.33486259871065305"/>
          <c:y val="2.2352316310111694E-2"/>
        </c:manualLayout>
      </c:layout>
      <c:overlay val="0"/>
      <c:spPr>
        <a:noFill/>
        <a:ln>
          <a:noFill/>
        </a:ln>
        <a:effectLst/>
      </c:spPr>
      <c:txPr>
        <a:bodyPr rot="0" spcFirstLastPara="1" vertOverflow="ellipsis" vert="horz" wrap="square" anchor="ctr" anchorCtr="1"/>
        <a:lstStyle/>
        <a:p>
          <a:pPr algn="ctr">
            <a:defRPr sz="1400" b="1" i="0" u="none" strike="noStrike" kern="1200" spc="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en-US"/>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spPr>
            <a:ln w="31750"/>
            <a:scene3d>
              <a:camera prst="orthographicFront"/>
              <a:lightRig rig="threePt" dir="t"/>
            </a:scene3d>
            <a:sp3d prstMaterial="matte">
              <a:contourClr>
                <a:srgbClr val="000000"/>
              </a:contourClr>
            </a:sp3d>
          </c:spPr>
          <c:explosion val="3"/>
          <c:dPt>
            <c:idx val="0"/>
            <c:bubble3D val="0"/>
            <c:spPr>
              <a:solidFill>
                <a:schemeClr val="accent3">
                  <a:lumMod val="20000"/>
                  <a:lumOff val="80000"/>
                </a:schemeClr>
              </a:solidFill>
              <a:ln w="31750">
                <a:solidFill>
                  <a:schemeClr val="accent3">
                    <a:lumMod val="20000"/>
                    <a:lumOff val="80000"/>
                  </a:schemeClr>
                </a:solidFill>
              </a:ln>
              <a:effectLst/>
              <a:scene3d>
                <a:camera prst="orthographicFront"/>
                <a:lightRig rig="threePt" dir="t"/>
              </a:scene3d>
              <a:sp3d contourW="31750" prstMaterial="matte">
                <a:contourClr>
                  <a:schemeClr val="accent3">
                    <a:lumMod val="20000"/>
                    <a:lumOff val="80000"/>
                  </a:schemeClr>
                </a:contourClr>
              </a:sp3d>
            </c:spPr>
            <c:extLst>
              <c:ext xmlns:c16="http://schemas.microsoft.com/office/drawing/2014/chart" uri="{C3380CC4-5D6E-409C-BE32-E72D297353CC}">
                <c16:uniqueId val="{00000001-6B49-4A79-8B0B-ED2A0D6366F5}"/>
              </c:ext>
            </c:extLst>
          </c:dPt>
          <c:dPt>
            <c:idx val="1"/>
            <c:bubble3D val="0"/>
            <c:spPr>
              <a:solidFill>
                <a:srgbClr val="FFCCCC"/>
              </a:solidFill>
              <a:ln w="31750">
                <a:solidFill>
                  <a:srgbClr val="FFCCCC"/>
                </a:solidFill>
              </a:ln>
              <a:effectLst/>
              <a:scene3d>
                <a:camera prst="orthographicFront"/>
                <a:lightRig rig="threePt" dir="t"/>
              </a:scene3d>
              <a:sp3d contourW="31750" prstMaterial="matte">
                <a:contourClr>
                  <a:srgbClr val="FFCCCC"/>
                </a:contourClr>
              </a:sp3d>
            </c:spPr>
            <c:extLst>
              <c:ext xmlns:c16="http://schemas.microsoft.com/office/drawing/2014/chart" uri="{C3380CC4-5D6E-409C-BE32-E72D297353CC}">
                <c16:uniqueId val="{00000003-6B49-4A79-8B0B-ED2A0D6366F5}"/>
              </c:ext>
            </c:extLst>
          </c:dPt>
          <c:dPt>
            <c:idx val="2"/>
            <c:bubble3D val="0"/>
            <c:spPr>
              <a:solidFill>
                <a:srgbClr val="FFC000"/>
              </a:solidFill>
              <a:ln w="31750">
                <a:solidFill>
                  <a:srgbClr val="FFC000"/>
                </a:solidFill>
              </a:ln>
              <a:effectLst/>
              <a:scene3d>
                <a:camera prst="orthographicFront"/>
                <a:lightRig rig="threePt" dir="t"/>
              </a:scene3d>
              <a:sp3d contourW="31750" prstMaterial="matte">
                <a:contourClr>
                  <a:srgbClr val="FFC000"/>
                </a:contourClr>
              </a:sp3d>
            </c:spPr>
            <c:extLst>
              <c:ext xmlns:c16="http://schemas.microsoft.com/office/drawing/2014/chart" uri="{C3380CC4-5D6E-409C-BE32-E72D297353CC}">
                <c16:uniqueId val="{00000005-6B49-4A79-8B0B-ED2A0D6366F5}"/>
              </c:ext>
            </c:extLst>
          </c:dPt>
          <c:dPt>
            <c:idx val="3"/>
            <c:bubble3D val="0"/>
            <c:spPr>
              <a:solidFill>
                <a:schemeClr val="bg1">
                  <a:lumMod val="85000"/>
                </a:schemeClr>
              </a:solidFill>
              <a:ln w="31750">
                <a:solidFill>
                  <a:schemeClr val="bg1">
                    <a:lumMod val="85000"/>
                  </a:schemeClr>
                </a:solidFill>
              </a:ln>
              <a:effectLst/>
              <a:scene3d>
                <a:camera prst="orthographicFront"/>
                <a:lightRig rig="threePt" dir="t"/>
              </a:scene3d>
              <a:sp3d contourW="31750" prstMaterial="matte">
                <a:contourClr>
                  <a:schemeClr val="bg1">
                    <a:lumMod val="85000"/>
                  </a:schemeClr>
                </a:contourClr>
              </a:sp3d>
            </c:spPr>
            <c:extLst>
              <c:ext xmlns:c16="http://schemas.microsoft.com/office/drawing/2014/chart" uri="{C3380CC4-5D6E-409C-BE32-E72D297353CC}">
                <c16:uniqueId val="{00000007-6B49-4A79-8B0B-ED2A0D6366F5}"/>
              </c:ext>
            </c:extLst>
          </c:dPt>
          <c:dPt>
            <c:idx val="4"/>
            <c:bubble3D val="0"/>
            <c:spPr>
              <a:solidFill>
                <a:schemeClr val="accent6">
                  <a:lumMod val="20000"/>
                  <a:lumOff val="80000"/>
                </a:schemeClr>
              </a:solidFill>
              <a:ln w="31750">
                <a:solidFill>
                  <a:schemeClr val="accent6">
                    <a:lumMod val="20000"/>
                    <a:lumOff val="80000"/>
                  </a:schemeClr>
                </a:solidFill>
              </a:ln>
              <a:effectLst/>
              <a:scene3d>
                <a:camera prst="orthographicFront"/>
                <a:lightRig rig="threePt" dir="t"/>
              </a:scene3d>
              <a:sp3d contourW="31750" prstMaterial="matte">
                <a:contourClr>
                  <a:schemeClr val="accent6">
                    <a:lumMod val="20000"/>
                    <a:lumOff val="80000"/>
                  </a:schemeClr>
                </a:contourClr>
              </a:sp3d>
            </c:spPr>
            <c:extLst>
              <c:ext xmlns:c16="http://schemas.microsoft.com/office/drawing/2014/chart" uri="{C3380CC4-5D6E-409C-BE32-E72D297353CC}">
                <c16:uniqueId val="{00000009-6B49-4A79-8B0B-ED2A0D6366F5}"/>
              </c:ext>
            </c:extLst>
          </c:dPt>
          <c:dLbls>
            <c:dLbl>
              <c:idx val="1"/>
              <c:layout>
                <c:manualLayout>
                  <c:x val="3.5546881901979827E-2"/>
                  <c:y val="-4.2708582044435582E-3"/>
                </c:manualLayout>
              </c:layout>
              <c:spPr>
                <a:noFill/>
                <a:ln>
                  <a:noFill/>
                </a:ln>
                <a:effectLst/>
              </c:spPr>
              <c:txPr>
                <a:bodyPr rot="0" spcFirstLastPara="1" vertOverflow="ellipsis" vert="horz" wrap="square" lIns="38100" tIns="19050" rIns="38100" bIns="19050" anchor="ctr" anchorCtr="0">
                  <a:noAutofit/>
                </a:bodyPr>
                <a:lstStyle/>
                <a:p>
                  <a:pPr>
                    <a:defRPr sz="1200" b="0" i="0" u="none" strike="noStrike" kern="1200" baseline="0">
                      <a:solidFill>
                        <a:schemeClr val="tx1">
                          <a:lumMod val="75000"/>
                          <a:lumOff val="25000"/>
                        </a:schemeClr>
                      </a:solidFill>
                      <a:latin typeface="+mn-lt"/>
                      <a:ea typeface="+mn-ea"/>
                      <a:cs typeface="+mn-cs"/>
                    </a:defRPr>
                  </a:pPr>
                  <a:endParaRPr lang="lt-LT"/>
                </a:p>
              </c:txPr>
              <c:dLblPos val="bestFit"/>
              <c:showLegendKey val="0"/>
              <c:showVal val="1"/>
              <c:showCatName val="0"/>
              <c:showSerName val="0"/>
              <c:showPercent val="1"/>
              <c:showBubbleSize val="0"/>
              <c:extLst>
                <c:ext xmlns:c15="http://schemas.microsoft.com/office/drawing/2012/chart" uri="{CE6537A1-D6FC-4f65-9D91-7224C49458BB}">
                  <c15:layout>
                    <c:manualLayout>
                      <c:w val="8.2738930758673834E-2"/>
                      <c:h val="7.0793245915873992E-2"/>
                    </c:manualLayout>
                  </c15:layout>
                </c:ext>
                <c:ext xmlns:c16="http://schemas.microsoft.com/office/drawing/2014/chart" uri="{C3380CC4-5D6E-409C-BE32-E72D297353CC}">
                  <c16:uniqueId val="{00000003-6B49-4A79-8B0B-ED2A0D6366F5}"/>
                </c:ext>
              </c:extLst>
            </c:dLbl>
            <c:spPr>
              <a:noFill/>
              <a:ln>
                <a:noFill/>
              </a:ln>
              <a:effectLst/>
            </c:spPr>
            <c:txPr>
              <a:bodyPr rot="0" spcFirstLastPara="1" vertOverflow="ellipsis" vert="horz" wrap="square" lIns="38100" tIns="19050" rIns="38100" bIns="19050" anchor="ctr" anchorCtr="0">
                <a:spAutoFit/>
              </a:bodyPr>
              <a:lstStyle/>
              <a:p>
                <a:pPr>
                  <a:defRPr sz="1200" b="0" i="0" u="none" strike="noStrike" kern="1200" baseline="0">
                    <a:solidFill>
                      <a:schemeClr val="tx1">
                        <a:lumMod val="75000"/>
                        <a:lumOff val="25000"/>
                      </a:schemeClr>
                    </a:solidFill>
                    <a:latin typeface="+mn-lt"/>
                    <a:ea typeface="+mn-ea"/>
                    <a:cs typeface="+mn-cs"/>
                  </a:defRPr>
                </a:pPr>
                <a:endParaRPr lang="lt-LT"/>
              </a:p>
            </c:txPr>
            <c:dLblPos val="inEnd"/>
            <c:showLegendKey val="0"/>
            <c:showVal val="1"/>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Planas!$V$824:$V$828</c:f>
              <c:strCache>
                <c:ptCount val="5"/>
                <c:pt idx="0">
                  <c:v>Priemonė buvo įvykdyta pagal planą</c:v>
                </c:pt>
                <c:pt idx="1">
                  <c:v>Vykdant priemonę buvo pasiekta vertinimo kriterijų reikšmių mažiau nei 50 %</c:v>
                </c:pt>
                <c:pt idx="2">
                  <c:v>Vykdant priemonę buvo pasiekta vertinimo kriterijų reikšmių 50 % ir daugiau</c:v>
                </c:pt>
                <c:pt idx="3">
                  <c:v>Vykdant priemonę buvo pasiekta daugiau vertinimo kriterijų reikšmių nei planuota</c:v>
                </c:pt>
                <c:pt idx="4">
                  <c:v>Priemonė neįvykdyta, t.y. nepasiekta planuota vertinimo kriterijų reikšmė</c:v>
                </c:pt>
              </c:strCache>
            </c:strRef>
          </c:cat>
          <c:val>
            <c:numRef>
              <c:f>Planas!$W$824:$W$828</c:f>
              <c:numCache>
                <c:formatCode>General</c:formatCode>
                <c:ptCount val="5"/>
                <c:pt idx="0">
                  <c:v>35</c:v>
                </c:pt>
                <c:pt idx="1">
                  <c:v>1</c:v>
                </c:pt>
                <c:pt idx="2">
                  <c:v>3</c:v>
                </c:pt>
                <c:pt idx="3">
                  <c:v>5</c:v>
                </c:pt>
              </c:numCache>
            </c:numRef>
          </c:val>
          <c:extLst>
            <c:ext xmlns:c16="http://schemas.microsoft.com/office/drawing/2014/chart" uri="{C3380CC4-5D6E-409C-BE32-E72D297353CC}">
              <c16:uniqueId val="{0000000A-6B49-4A79-8B0B-ED2A0D6366F5}"/>
            </c:ext>
          </c:extLst>
        </c:ser>
        <c:dLbls>
          <c:dLblPos val="bestFit"/>
          <c:showLegendKey val="0"/>
          <c:showVal val="1"/>
          <c:showCatName val="0"/>
          <c:showSerName val="0"/>
          <c:showPercent val="0"/>
          <c:showBubbleSize val="0"/>
          <c:showLeaderLines val="1"/>
        </c:dLbls>
      </c:pie3DChart>
      <c:spPr>
        <a:solidFill>
          <a:schemeClr val="bg1">
            <a:lumMod val="95000"/>
          </a:schemeClr>
        </a:solidFill>
        <a:ln>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a:effectLst>
          <a:softEdge rad="0"/>
        </a:effectLst>
      </c:spPr>
    </c:plotArea>
    <c:legend>
      <c:legendPos val="b"/>
      <c:layout>
        <c:manualLayout>
          <c:xMode val="edge"/>
          <c:yMode val="edge"/>
          <c:x val="2.256379873216996E-2"/>
          <c:y val="0.75093203096705152"/>
          <c:w val="0.95487225100822581"/>
          <c:h val="0.23416642482620731"/>
        </c:manualLayout>
      </c:layout>
      <c:overlay val="0"/>
      <c:spPr>
        <a:solidFill>
          <a:schemeClr val="bg1">
            <a:lumMod val="95000"/>
          </a:schemeClr>
        </a:solidFill>
        <a:ln>
          <a:gradFill flip="none" rotWithShape="1">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tileRect/>
          </a:gradFill>
        </a:ln>
        <a:effectLst/>
      </c:spPr>
      <c:txPr>
        <a:bodyPr rot="0" spcFirstLastPara="1" vertOverflow="ellipsis" vert="horz" wrap="square" anchor="ctr" anchorCtr="1"/>
        <a:lstStyle/>
        <a:p>
          <a:pPr rtl="0">
            <a:defRPr sz="1200" b="0" i="0" u="none" strike="noStrike" kern="1200" baseline="0">
              <a:ln>
                <a:noFill/>
              </a:ln>
              <a:solidFill>
                <a:schemeClr val="tx1"/>
              </a:solidFill>
              <a:latin typeface="Times New Roman" panose="02020603050405020304" pitchFamily="18" charset="0"/>
              <a:ea typeface="+mn-ea"/>
              <a:cs typeface="Times New Roman" panose="02020603050405020304" pitchFamily="18" charset="0"/>
            </a:defRPr>
          </a:pPr>
          <a:endParaRPr lang="lt-LT"/>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lumMod val="85000"/>
      </a:schemeClr>
    </a:solidFill>
    <a:ln w="9525" cap="flat" cmpd="sng" algn="ctr">
      <a:solidFill>
        <a:schemeClr val="tx1">
          <a:lumMod val="15000"/>
          <a:lumOff val="85000"/>
        </a:schemeClr>
      </a:solidFill>
      <a:round/>
    </a:ln>
    <a:effectLst>
      <a:softEdge rad="0"/>
    </a:effectLst>
  </c:spPr>
  <c:txPr>
    <a:bodyPr/>
    <a:lstStyle/>
    <a:p>
      <a:pPr>
        <a:defRPr/>
      </a:pPr>
      <a:endParaRPr lang="lt-LT"/>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1" i="0" u="none" strike="noStrike" kern="1200" spc="0" baseline="0">
                <a:solidFill>
                  <a:schemeClr val="tx1"/>
                </a:solidFill>
                <a:latin typeface="Times New Roman" panose="02020603050405020304" pitchFamily="18" charset="0"/>
                <a:ea typeface="+mn-ea"/>
                <a:cs typeface="Times New Roman" panose="02020603050405020304" pitchFamily="18" charset="0"/>
              </a:defRPr>
            </a:pPr>
            <a:r>
              <a:rPr lang="lt-LT" b="1"/>
              <a:t>2024 m. 11 programos vykdymo palyginimas su 2023 m.</a:t>
            </a:r>
          </a:p>
        </c:rich>
      </c:tx>
      <c:overlay val="0"/>
      <c:spPr>
        <a:noFill/>
        <a:ln>
          <a:noFill/>
        </a:ln>
        <a:effectLst/>
      </c:spPr>
      <c:txPr>
        <a:bodyPr rot="0" spcFirstLastPara="1" vertOverflow="ellipsis" vert="horz" wrap="square" anchor="ctr" anchorCtr="1"/>
        <a:lstStyle/>
        <a:p>
          <a:pPr>
            <a:defRPr sz="1440" b="1" i="0" u="none" strike="noStrike" kern="1200" spc="0" baseline="0">
              <a:solidFill>
                <a:schemeClr val="tx1"/>
              </a:solidFill>
              <a:latin typeface="Times New Roman" panose="02020603050405020304" pitchFamily="18" charset="0"/>
              <a:ea typeface="+mn-ea"/>
              <a:cs typeface="Times New Roman" panose="02020603050405020304" pitchFamily="18" charset="0"/>
            </a:defRPr>
          </a:pPr>
          <a:endParaRPr lang="lt-LT"/>
        </a:p>
      </c:txPr>
    </c:title>
    <c:autoTitleDeleted val="0"/>
    <c:plotArea>
      <c:layout>
        <c:manualLayout>
          <c:layoutTarget val="inner"/>
          <c:xMode val="edge"/>
          <c:yMode val="edge"/>
          <c:x val="9.2114197530864195E-2"/>
          <c:y val="0.10936134259259259"/>
          <c:w val="0.81829984567901248"/>
          <c:h val="0.48786805555555546"/>
        </c:manualLayout>
      </c:layout>
      <c:barChart>
        <c:barDir val="col"/>
        <c:grouping val="clustered"/>
        <c:varyColors val="0"/>
        <c:ser>
          <c:idx val="0"/>
          <c:order val="0"/>
          <c:tx>
            <c:strRef>
              <c:f>'[1]2024 m'!$B$113</c:f>
              <c:strCache>
                <c:ptCount val="1"/>
                <c:pt idx="0">
                  <c:v>Priemonė buvo įvykdyta pagal planą</c:v>
                </c:pt>
              </c:strCache>
            </c:strRef>
          </c:tx>
          <c:spPr>
            <a:solidFill>
              <a:srgbClr val="E2EFDA"/>
            </a:solidFill>
            <a:ln>
              <a:noFill/>
            </a:ln>
            <a:effectLst/>
            <a:scene3d>
              <a:camera prst="orthographicFront"/>
              <a:lightRig rig="threePt" dir="t"/>
            </a:scene3d>
            <a:sp3d>
              <a:bevelT/>
            </a:sp3d>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lt-LT"/>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'[1]2024 m'!$C$112:$D$112</c:f>
              <c:numCache>
                <c:formatCode>General</c:formatCode>
                <c:ptCount val="2"/>
                <c:pt idx="0">
                  <c:v>2023</c:v>
                </c:pt>
                <c:pt idx="1">
                  <c:v>2024</c:v>
                </c:pt>
              </c:numCache>
            </c:numRef>
          </c:cat>
          <c:val>
            <c:numRef>
              <c:f>'[1]2024 m'!$C$113:$D$113</c:f>
              <c:numCache>
                <c:formatCode>General</c:formatCode>
                <c:ptCount val="2"/>
                <c:pt idx="0">
                  <c:v>36</c:v>
                </c:pt>
                <c:pt idx="1">
                  <c:v>35</c:v>
                </c:pt>
              </c:numCache>
            </c:numRef>
          </c:val>
          <c:extLst>
            <c:ext xmlns:c16="http://schemas.microsoft.com/office/drawing/2014/chart" uri="{C3380CC4-5D6E-409C-BE32-E72D297353CC}">
              <c16:uniqueId val="{00000000-B7A9-4BEC-AB5E-07C2CBC1BB33}"/>
            </c:ext>
          </c:extLst>
        </c:ser>
        <c:ser>
          <c:idx val="1"/>
          <c:order val="1"/>
          <c:tx>
            <c:strRef>
              <c:f>'[1]2024 m'!$B$114</c:f>
              <c:strCache>
                <c:ptCount val="1"/>
                <c:pt idx="0">
                  <c:v>Vykdant priemonę buvo pasiekta vertinimo kriterijų reikšmių mažiau nei 50 %</c:v>
                </c:pt>
              </c:strCache>
            </c:strRef>
          </c:tx>
          <c:spPr>
            <a:solidFill>
              <a:srgbClr val="FFFFCC"/>
            </a:solidFill>
            <a:ln>
              <a:solidFill>
                <a:srgbClr val="FFCCCC"/>
              </a:solidFill>
            </a:ln>
            <a:effectLst/>
            <a:scene3d>
              <a:camera prst="orthographicFront"/>
              <a:lightRig rig="threePt" dir="t"/>
            </a:scene3d>
            <a:sp3d>
              <a:bevelT/>
            </a:sp3d>
          </c:spPr>
          <c:invertIfNegative val="0"/>
          <c:dPt>
            <c:idx val="1"/>
            <c:invertIfNegative val="0"/>
            <c:bubble3D val="0"/>
            <c:spPr>
              <a:solidFill>
                <a:srgbClr val="FFCCCC"/>
              </a:solidFill>
              <a:ln>
                <a:solidFill>
                  <a:srgbClr val="FFCCCC"/>
                </a:solidFill>
              </a:ln>
              <a:effectLst/>
              <a:scene3d>
                <a:camera prst="orthographicFront"/>
                <a:lightRig rig="threePt" dir="t"/>
              </a:scene3d>
              <a:sp3d>
                <a:bevelT/>
              </a:sp3d>
            </c:spPr>
            <c:extLst>
              <c:ext xmlns:c16="http://schemas.microsoft.com/office/drawing/2014/chart" uri="{C3380CC4-5D6E-409C-BE32-E72D297353CC}">
                <c16:uniqueId val="{00000002-B7A9-4BEC-AB5E-07C2CBC1BB33}"/>
              </c:ext>
            </c:extLst>
          </c:dPt>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lt-LT"/>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'[1]2024 m'!$C$112:$D$112</c:f>
              <c:numCache>
                <c:formatCode>General</c:formatCode>
                <c:ptCount val="2"/>
                <c:pt idx="0">
                  <c:v>2023</c:v>
                </c:pt>
                <c:pt idx="1">
                  <c:v>2024</c:v>
                </c:pt>
              </c:numCache>
            </c:numRef>
          </c:cat>
          <c:val>
            <c:numRef>
              <c:f>'[1]2024 m'!$C$114:$D$114</c:f>
              <c:numCache>
                <c:formatCode>General</c:formatCode>
                <c:ptCount val="2"/>
                <c:pt idx="0">
                  <c:v>0</c:v>
                </c:pt>
                <c:pt idx="1">
                  <c:v>1</c:v>
                </c:pt>
              </c:numCache>
            </c:numRef>
          </c:val>
          <c:extLst>
            <c:ext xmlns:c16="http://schemas.microsoft.com/office/drawing/2014/chart" uri="{C3380CC4-5D6E-409C-BE32-E72D297353CC}">
              <c16:uniqueId val="{00000003-B7A9-4BEC-AB5E-07C2CBC1BB33}"/>
            </c:ext>
          </c:extLst>
        </c:ser>
        <c:ser>
          <c:idx val="2"/>
          <c:order val="2"/>
          <c:tx>
            <c:strRef>
              <c:f>'[1]2024 m'!$B$115</c:f>
              <c:strCache>
                <c:ptCount val="1"/>
                <c:pt idx="0">
                  <c:v>Vykdant priemonę buvo pasiekta vertinimo kriterijų reikšmių 50 % ir daugiau</c:v>
                </c:pt>
              </c:strCache>
            </c:strRef>
          </c:tx>
          <c:spPr>
            <a:solidFill>
              <a:srgbClr val="FFC000"/>
            </a:solidFill>
            <a:ln>
              <a:noFill/>
            </a:ln>
            <a:effectLst/>
            <a:scene3d>
              <a:camera prst="orthographicFront"/>
              <a:lightRig rig="threePt" dir="t"/>
            </a:scene3d>
            <a:sp3d>
              <a:bevelT/>
            </a:sp3d>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lt-LT"/>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'[1]2024 m'!$C$112:$D$112</c:f>
              <c:numCache>
                <c:formatCode>General</c:formatCode>
                <c:ptCount val="2"/>
                <c:pt idx="0">
                  <c:v>2023</c:v>
                </c:pt>
                <c:pt idx="1">
                  <c:v>2024</c:v>
                </c:pt>
              </c:numCache>
            </c:numRef>
          </c:cat>
          <c:val>
            <c:numRef>
              <c:f>'[1]2024 m'!$C$115:$D$115</c:f>
              <c:numCache>
                <c:formatCode>General</c:formatCode>
                <c:ptCount val="2"/>
                <c:pt idx="0">
                  <c:v>5</c:v>
                </c:pt>
                <c:pt idx="1">
                  <c:v>3</c:v>
                </c:pt>
              </c:numCache>
            </c:numRef>
          </c:val>
          <c:extLst>
            <c:ext xmlns:c16="http://schemas.microsoft.com/office/drawing/2014/chart" uri="{C3380CC4-5D6E-409C-BE32-E72D297353CC}">
              <c16:uniqueId val="{00000004-B7A9-4BEC-AB5E-07C2CBC1BB33}"/>
            </c:ext>
          </c:extLst>
        </c:ser>
        <c:ser>
          <c:idx val="3"/>
          <c:order val="3"/>
          <c:tx>
            <c:strRef>
              <c:f>'[1]2024 m'!$B$116</c:f>
              <c:strCache>
                <c:ptCount val="1"/>
                <c:pt idx="0">
                  <c:v>Vykdant priemonę buvo pasiekta daugiau vertinimo kriterijų reikšmių nei planuota</c:v>
                </c:pt>
              </c:strCache>
            </c:strRef>
          </c:tx>
          <c:spPr>
            <a:solidFill>
              <a:schemeClr val="bg1">
                <a:lumMod val="85000"/>
              </a:schemeClr>
            </a:solidFill>
            <a:ln>
              <a:solidFill>
                <a:schemeClr val="bg1">
                  <a:lumMod val="85000"/>
                </a:schemeClr>
              </a:solidFill>
            </a:ln>
            <a:effectLst/>
            <a:scene3d>
              <a:camera prst="orthographicFront"/>
              <a:lightRig rig="threePt" dir="t"/>
            </a:scene3d>
            <a:sp3d>
              <a:bevelT/>
            </a:sp3d>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lt-LT"/>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'[1]2024 m'!$C$112:$D$112</c:f>
              <c:numCache>
                <c:formatCode>General</c:formatCode>
                <c:ptCount val="2"/>
                <c:pt idx="0">
                  <c:v>2023</c:v>
                </c:pt>
                <c:pt idx="1">
                  <c:v>2024</c:v>
                </c:pt>
              </c:numCache>
            </c:numRef>
          </c:cat>
          <c:val>
            <c:numRef>
              <c:f>'[1]2024 m'!$C$116:$D$116</c:f>
              <c:numCache>
                <c:formatCode>General</c:formatCode>
                <c:ptCount val="2"/>
                <c:pt idx="0">
                  <c:v>2</c:v>
                </c:pt>
                <c:pt idx="1">
                  <c:v>5</c:v>
                </c:pt>
              </c:numCache>
            </c:numRef>
          </c:val>
          <c:extLst>
            <c:ext xmlns:c16="http://schemas.microsoft.com/office/drawing/2014/chart" uri="{C3380CC4-5D6E-409C-BE32-E72D297353CC}">
              <c16:uniqueId val="{00000005-B7A9-4BEC-AB5E-07C2CBC1BB33}"/>
            </c:ext>
          </c:extLst>
        </c:ser>
        <c:ser>
          <c:idx val="4"/>
          <c:order val="4"/>
          <c:tx>
            <c:strRef>
              <c:f>'[1]2024 m'!$B$117</c:f>
              <c:strCache>
                <c:ptCount val="1"/>
                <c:pt idx="0">
                  <c:v>Priemonė neįvykdyta, t.y. nepasiekta planuota vertinimo kriterijų reikšmė</c:v>
                </c:pt>
              </c:strCache>
            </c:strRef>
          </c:tx>
          <c:spPr>
            <a:solidFill>
              <a:srgbClr val="FCE4D6"/>
            </a:solidFill>
            <a:ln>
              <a:noFill/>
            </a:ln>
            <a:effectLst/>
            <a:scene3d>
              <a:camera prst="orthographicFront"/>
              <a:lightRig rig="threePt" dir="t"/>
            </a:scene3d>
            <a:sp3d>
              <a:bevelT/>
            </a:sp3d>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lt-LT"/>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'[1]2024 m'!$C$112:$D$112</c:f>
              <c:numCache>
                <c:formatCode>General</c:formatCode>
                <c:ptCount val="2"/>
                <c:pt idx="0">
                  <c:v>2023</c:v>
                </c:pt>
                <c:pt idx="1">
                  <c:v>2024</c:v>
                </c:pt>
              </c:numCache>
            </c:numRef>
          </c:cat>
          <c:val>
            <c:numRef>
              <c:f>'[1]2024 m'!$C$117:$D$117</c:f>
              <c:numCache>
                <c:formatCode>General</c:formatCode>
                <c:ptCount val="2"/>
                <c:pt idx="0">
                  <c:v>1</c:v>
                </c:pt>
                <c:pt idx="1">
                  <c:v>0</c:v>
                </c:pt>
              </c:numCache>
            </c:numRef>
          </c:val>
          <c:extLst>
            <c:ext xmlns:c16="http://schemas.microsoft.com/office/drawing/2014/chart" uri="{C3380CC4-5D6E-409C-BE32-E72D297353CC}">
              <c16:uniqueId val="{00000006-B7A9-4BEC-AB5E-07C2CBC1BB33}"/>
            </c:ext>
          </c:extLst>
        </c:ser>
        <c:dLbls>
          <c:showLegendKey val="0"/>
          <c:showVal val="1"/>
          <c:showCatName val="0"/>
          <c:showSerName val="0"/>
          <c:showPercent val="0"/>
          <c:showBubbleSize val="0"/>
        </c:dLbls>
        <c:gapWidth val="150"/>
        <c:axId val="1495728303"/>
        <c:axId val="1495744527"/>
      </c:barChart>
      <c:lineChart>
        <c:grouping val="standard"/>
        <c:varyColors val="0"/>
        <c:ser>
          <c:idx val="5"/>
          <c:order val="5"/>
          <c:tx>
            <c:strRef>
              <c:f>'[1]2024 m'!$B$118</c:f>
              <c:strCache>
                <c:ptCount val="1"/>
                <c:pt idx="0">
                  <c:v>Iš viso programų priemonių</c:v>
                </c:pt>
              </c:strCache>
            </c:strRef>
          </c:tx>
          <c:spPr>
            <a:ln w="28575" cap="rnd">
              <a:solidFill>
                <a:srgbClr val="FFC000"/>
              </a:solidFill>
              <a:round/>
            </a:ln>
            <a:effectLst/>
          </c:spPr>
          <c:marker>
            <c:symbol val="circle"/>
            <c:size val="7"/>
            <c:spPr>
              <a:solidFill>
                <a:schemeClr val="accent4">
                  <a:lumMod val="60000"/>
                  <a:lumOff val="40000"/>
                </a:schemeClr>
              </a:solidFill>
              <a:ln w="9525">
                <a:solidFill>
                  <a:schemeClr val="accent4"/>
                </a:solidFill>
              </a:ln>
              <a:effectLst/>
              <a:scene3d>
                <a:camera prst="orthographicFront"/>
                <a:lightRig rig="threePt" dir="t"/>
              </a:scene3d>
              <a:sp3d>
                <a:bevelT/>
              </a:sp3d>
            </c:spPr>
          </c:marker>
          <c:dLbls>
            <c:dLbl>
              <c:idx val="0"/>
              <c:layout>
                <c:manualLayout>
                  <c:x val="-2.939815268490014E-2"/>
                  <c:y val="-3.650711590246431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B7A9-4BEC-AB5E-07C2CBC1BB33}"/>
                </c:ext>
              </c:extLst>
            </c:dLbl>
            <c:dLbl>
              <c:idx val="1"/>
              <c:layout>
                <c:manualLayout>
                  <c:x val="-3.3317906376220119E-2"/>
                  <c:y val="-3.650711590246431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B7A9-4BEC-AB5E-07C2CBC1BB33}"/>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lt-LT"/>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'[1]2024 m'!$C$112:$D$112</c:f>
              <c:numCache>
                <c:formatCode>General</c:formatCode>
                <c:ptCount val="2"/>
                <c:pt idx="0">
                  <c:v>2023</c:v>
                </c:pt>
                <c:pt idx="1">
                  <c:v>2024</c:v>
                </c:pt>
              </c:numCache>
            </c:numRef>
          </c:cat>
          <c:val>
            <c:numRef>
              <c:f>'[1]2024 m'!$C$118:$D$118</c:f>
              <c:numCache>
                <c:formatCode>General</c:formatCode>
                <c:ptCount val="2"/>
                <c:pt idx="0">
                  <c:v>44</c:v>
                </c:pt>
                <c:pt idx="1">
                  <c:v>44</c:v>
                </c:pt>
              </c:numCache>
            </c:numRef>
          </c:val>
          <c:smooth val="0"/>
          <c:extLst>
            <c:ext xmlns:c16="http://schemas.microsoft.com/office/drawing/2014/chart" uri="{C3380CC4-5D6E-409C-BE32-E72D297353CC}">
              <c16:uniqueId val="{00000009-B7A9-4BEC-AB5E-07C2CBC1BB33}"/>
            </c:ext>
          </c:extLst>
        </c:ser>
        <c:dLbls>
          <c:showLegendKey val="0"/>
          <c:showVal val="1"/>
          <c:showCatName val="0"/>
          <c:showSerName val="0"/>
          <c:showPercent val="0"/>
          <c:showBubbleSize val="0"/>
        </c:dLbls>
        <c:marker val="1"/>
        <c:smooth val="0"/>
        <c:axId val="1632945087"/>
        <c:axId val="1632942591"/>
      </c:lineChart>
      <c:catAx>
        <c:axId val="1495728303"/>
        <c:scaling>
          <c:orientation val="minMax"/>
        </c:scaling>
        <c:delete val="0"/>
        <c:axPos val="b"/>
        <c:title>
          <c:tx>
            <c:rich>
              <a:bodyPr rot="0" spcFirstLastPara="1" vertOverflow="ellipsis" vert="horz" wrap="square" anchor="ctr" anchorCtr="1"/>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r>
                  <a:rPr lang="lt-LT"/>
                  <a:t>Metai</a:t>
                </a:r>
              </a:p>
            </c:rich>
          </c:tx>
          <c:layout>
            <c:manualLayout>
              <c:xMode val="edge"/>
              <c:yMode val="edge"/>
              <c:x val="0.48600648148148146"/>
              <c:y val="0.63521180555555556"/>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lt-LT"/>
            </a:p>
          </c:txPr>
        </c:title>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lt-LT"/>
          </a:p>
        </c:txPr>
        <c:crossAx val="1495744527"/>
        <c:crosses val="autoZero"/>
        <c:auto val="1"/>
        <c:lblAlgn val="ctr"/>
        <c:lblOffset val="100"/>
        <c:noMultiLvlLbl val="0"/>
      </c:catAx>
      <c:valAx>
        <c:axId val="1495744527"/>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r>
                  <a:rPr lang="lt-LT" sz="1200"/>
                  <a:t>Progamų priemonių skaičius</a:t>
                </a:r>
              </a:p>
            </c:rich>
          </c:tx>
          <c:layout>
            <c:manualLayout>
              <c:xMode val="edge"/>
              <c:yMode val="edge"/>
              <c:x val="1.0191358024691358E-2"/>
              <c:y val="0.15776712661357695"/>
            </c:manualLayout>
          </c:layout>
          <c:overlay val="0"/>
          <c:spPr>
            <a:noFill/>
            <a:ln>
              <a:noFill/>
            </a:ln>
            <a:effectLst/>
          </c:spPr>
          <c:txPr>
            <a:bodyPr rot="-5400000" spcFirstLastPara="1" vertOverflow="ellipsis" vert="horz" wrap="square" anchor="ctr" anchorCtr="1"/>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lt-LT"/>
            </a:p>
          </c:txPr>
        </c:title>
        <c:numFmt formatCode="General"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lt-LT"/>
          </a:p>
        </c:txPr>
        <c:crossAx val="1495728303"/>
        <c:crosses val="autoZero"/>
        <c:crossBetween val="between"/>
      </c:valAx>
      <c:valAx>
        <c:axId val="1632942591"/>
        <c:scaling>
          <c:orientation val="minMax"/>
        </c:scaling>
        <c:delete val="0"/>
        <c:axPos val="r"/>
        <c:title>
          <c:tx>
            <c:rich>
              <a:bodyPr rot="-5400000" spcFirstLastPara="1" vertOverflow="ellipsis" vert="horz" wrap="square" anchor="ctr" anchorCtr="1"/>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r>
                  <a:rPr lang="lt-LT"/>
                  <a:t>Programų</a:t>
                </a:r>
                <a:r>
                  <a:rPr lang="lt-LT" baseline="0"/>
                  <a:t> priemonių skaičius</a:t>
                </a:r>
                <a:endParaRPr lang="lt-LT"/>
              </a:p>
            </c:rich>
          </c:tx>
          <c:overlay val="0"/>
          <c:spPr>
            <a:noFill/>
            <a:ln>
              <a:noFill/>
            </a:ln>
            <a:effectLst/>
          </c:spPr>
          <c:txPr>
            <a:bodyPr rot="-5400000" spcFirstLastPara="1" vertOverflow="ellipsis" vert="horz" wrap="square" anchor="ctr" anchorCtr="1"/>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lt-LT"/>
            </a:p>
          </c:txPr>
        </c:title>
        <c:numFmt formatCode="General"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lt-LT"/>
          </a:p>
        </c:txPr>
        <c:crossAx val="1632945087"/>
        <c:crosses val="max"/>
        <c:crossBetween val="between"/>
      </c:valAx>
      <c:catAx>
        <c:axId val="1632945087"/>
        <c:scaling>
          <c:orientation val="minMax"/>
        </c:scaling>
        <c:delete val="1"/>
        <c:axPos val="b"/>
        <c:numFmt formatCode="General" sourceLinked="1"/>
        <c:majorTickMark val="out"/>
        <c:minorTickMark val="none"/>
        <c:tickLblPos val="nextTo"/>
        <c:crossAx val="1632942591"/>
        <c:crosses val="autoZero"/>
        <c:auto val="1"/>
        <c:lblAlgn val="ctr"/>
        <c:lblOffset val="100"/>
        <c:noMultiLvlLbl val="0"/>
      </c:catAx>
      <c:spPr>
        <a:solidFill>
          <a:schemeClr val="bg1">
            <a:lumMod val="95000"/>
          </a:schemeClr>
        </a:solidFill>
        <a:ln>
          <a:noFill/>
        </a:ln>
        <a:effectLst/>
      </c:spPr>
    </c:plotArea>
    <c:legend>
      <c:legendPos val="b"/>
      <c:layout>
        <c:manualLayout>
          <c:xMode val="edge"/>
          <c:yMode val="edge"/>
          <c:x val="3.8013894755230669E-2"/>
          <c:y val="0.68474214831662616"/>
          <c:w val="0.92355570987654323"/>
          <c:h val="0.29560017388973925"/>
        </c:manualLayout>
      </c:layout>
      <c:overlay val="0"/>
      <c:spPr>
        <a:solidFill>
          <a:schemeClr val="bg1">
            <a:lumMod val="95000"/>
          </a:schemeClr>
        </a:solidFill>
        <a:ln>
          <a:noFill/>
        </a:ln>
        <a:effectLst/>
      </c:spPr>
      <c:txPr>
        <a:bodyPr rot="0" spcFirstLastPara="1" vertOverflow="ellipsis" vert="horz" wrap="square" anchor="ctr" anchorCtr="1"/>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lt-LT"/>
        </a:p>
      </c:txPr>
    </c:legend>
    <c:plotVisOnly val="1"/>
    <c:dispBlanksAs val="gap"/>
    <c:showDLblsOverMax val="0"/>
  </c:chart>
  <c:spPr>
    <a:solidFill>
      <a:schemeClr val="bg1">
        <a:lumMod val="85000"/>
      </a:schemeClr>
    </a:solidFill>
    <a:ln w="9525" cap="flat" cmpd="sng" algn="ctr">
      <a:solidFill>
        <a:schemeClr val="tx1">
          <a:lumMod val="15000"/>
          <a:lumOff val="85000"/>
        </a:schemeClr>
      </a:solidFill>
      <a:round/>
    </a:ln>
    <a:effectLst/>
  </c:spPr>
  <c:txPr>
    <a:bodyPr/>
    <a:lstStyle/>
    <a:p>
      <a:pPr>
        <a:defRPr sz="1200">
          <a:solidFill>
            <a:schemeClr val="tx1"/>
          </a:solidFill>
          <a:latin typeface="Times New Roman" panose="02020603050405020304" pitchFamily="18" charset="0"/>
          <a:cs typeface="Times New Roman" panose="02020603050405020304" pitchFamily="18" charset="0"/>
        </a:defRPr>
      </a:pPr>
      <a:endParaRPr lang="lt-LT"/>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a:defRPr sz="1400" b="1" i="0" u="none" strike="noStrike" kern="1200" spc="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r>
              <a:rPr lang="lt-LT" b="1">
                <a:latin typeface="Times New Roman" panose="02020603050405020304" pitchFamily="18" charset="0"/>
                <a:cs typeface="Times New Roman" panose="02020603050405020304" pitchFamily="18" charset="0"/>
              </a:rPr>
              <a:t>02 programos vykdymas</a:t>
            </a:r>
            <a:endParaRPr lang="en-US" b="1">
              <a:latin typeface="Times New Roman" panose="02020603050405020304" pitchFamily="18" charset="0"/>
              <a:cs typeface="Times New Roman" panose="02020603050405020304" pitchFamily="18" charset="0"/>
            </a:endParaRPr>
          </a:p>
        </c:rich>
      </c:tx>
      <c:layout>
        <c:manualLayout>
          <c:xMode val="edge"/>
          <c:yMode val="edge"/>
          <c:x val="0.33486259871065305"/>
          <c:y val="2.2352316310111694E-2"/>
        </c:manualLayout>
      </c:layout>
      <c:overlay val="0"/>
      <c:spPr>
        <a:noFill/>
        <a:ln>
          <a:noFill/>
        </a:ln>
        <a:effectLst/>
      </c:spPr>
      <c:txPr>
        <a:bodyPr rot="0" spcFirstLastPara="1" vertOverflow="ellipsis" vert="horz" wrap="square" anchor="ctr" anchorCtr="1"/>
        <a:lstStyle/>
        <a:p>
          <a:pPr algn="ctr">
            <a:defRPr sz="1400" b="1" i="0" u="none" strike="noStrike" kern="1200" spc="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en-US"/>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spPr>
            <a:ln w="31750"/>
            <a:scene3d>
              <a:camera prst="orthographicFront"/>
              <a:lightRig rig="threePt" dir="t"/>
            </a:scene3d>
            <a:sp3d prstMaterial="matte">
              <a:contourClr>
                <a:srgbClr val="000000"/>
              </a:contourClr>
            </a:sp3d>
          </c:spPr>
          <c:explosion val="5"/>
          <c:dPt>
            <c:idx val="0"/>
            <c:bubble3D val="0"/>
            <c:explosion val="3"/>
            <c:spPr>
              <a:solidFill>
                <a:schemeClr val="accent3">
                  <a:lumMod val="20000"/>
                  <a:lumOff val="80000"/>
                </a:schemeClr>
              </a:solidFill>
              <a:ln w="31750">
                <a:solidFill>
                  <a:schemeClr val="accent3">
                    <a:lumMod val="20000"/>
                    <a:lumOff val="80000"/>
                  </a:schemeClr>
                </a:solidFill>
              </a:ln>
              <a:effectLst/>
              <a:scene3d>
                <a:camera prst="orthographicFront"/>
                <a:lightRig rig="threePt" dir="t"/>
              </a:scene3d>
              <a:sp3d contourW="31750" prstMaterial="matte">
                <a:contourClr>
                  <a:schemeClr val="accent3">
                    <a:lumMod val="20000"/>
                    <a:lumOff val="80000"/>
                  </a:schemeClr>
                </a:contourClr>
              </a:sp3d>
            </c:spPr>
            <c:extLst>
              <c:ext xmlns:c16="http://schemas.microsoft.com/office/drawing/2014/chart" uri="{C3380CC4-5D6E-409C-BE32-E72D297353CC}">
                <c16:uniqueId val="{00000001-AFDF-4A8D-B4BA-183A88D55C7E}"/>
              </c:ext>
            </c:extLst>
          </c:dPt>
          <c:dPt>
            <c:idx val="1"/>
            <c:bubble3D val="0"/>
            <c:spPr>
              <a:solidFill>
                <a:srgbClr val="FFCCCC"/>
              </a:solidFill>
              <a:ln w="31750">
                <a:solidFill>
                  <a:srgbClr val="FFCCCC"/>
                </a:solidFill>
              </a:ln>
              <a:effectLst/>
              <a:scene3d>
                <a:camera prst="orthographicFront"/>
                <a:lightRig rig="threePt" dir="t"/>
              </a:scene3d>
              <a:sp3d contourW="31750" prstMaterial="matte">
                <a:contourClr>
                  <a:srgbClr val="FFCCCC"/>
                </a:contourClr>
              </a:sp3d>
            </c:spPr>
            <c:extLst>
              <c:ext xmlns:c16="http://schemas.microsoft.com/office/drawing/2014/chart" uri="{C3380CC4-5D6E-409C-BE32-E72D297353CC}">
                <c16:uniqueId val="{00000003-AFDF-4A8D-B4BA-183A88D55C7E}"/>
              </c:ext>
            </c:extLst>
          </c:dPt>
          <c:dPt>
            <c:idx val="2"/>
            <c:bubble3D val="0"/>
            <c:spPr>
              <a:solidFill>
                <a:srgbClr val="FFC000"/>
              </a:solidFill>
              <a:ln w="31750">
                <a:solidFill>
                  <a:srgbClr val="FFC000"/>
                </a:solidFill>
              </a:ln>
              <a:effectLst/>
              <a:scene3d>
                <a:camera prst="orthographicFront"/>
                <a:lightRig rig="threePt" dir="t"/>
              </a:scene3d>
              <a:sp3d contourW="31750" prstMaterial="matte">
                <a:contourClr>
                  <a:srgbClr val="FFC000"/>
                </a:contourClr>
              </a:sp3d>
            </c:spPr>
            <c:extLst>
              <c:ext xmlns:c16="http://schemas.microsoft.com/office/drawing/2014/chart" uri="{C3380CC4-5D6E-409C-BE32-E72D297353CC}">
                <c16:uniqueId val="{00000005-AFDF-4A8D-B4BA-183A88D55C7E}"/>
              </c:ext>
            </c:extLst>
          </c:dPt>
          <c:dPt>
            <c:idx val="3"/>
            <c:bubble3D val="0"/>
            <c:spPr>
              <a:solidFill>
                <a:schemeClr val="bg1">
                  <a:lumMod val="85000"/>
                </a:schemeClr>
              </a:solidFill>
              <a:ln w="31750">
                <a:solidFill>
                  <a:schemeClr val="bg1">
                    <a:lumMod val="85000"/>
                  </a:schemeClr>
                </a:solidFill>
              </a:ln>
              <a:effectLst/>
              <a:scene3d>
                <a:camera prst="orthographicFront"/>
                <a:lightRig rig="threePt" dir="t"/>
              </a:scene3d>
              <a:sp3d contourW="31750" prstMaterial="matte">
                <a:contourClr>
                  <a:schemeClr val="bg1">
                    <a:lumMod val="85000"/>
                  </a:schemeClr>
                </a:contourClr>
              </a:sp3d>
            </c:spPr>
            <c:extLst>
              <c:ext xmlns:c16="http://schemas.microsoft.com/office/drawing/2014/chart" uri="{C3380CC4-5D6E-409C-BE32-E72D297353CC}">
                <c16:uniqueId val="{00000007-AFDF-4A8D-B4BA-183A88D55C7E}"/>
              </c:ext>
            </c:extLst>
          </c:dPt>
          <c:dPt>
            <c:idx val="4"/>
            <c:bubble3D val="0"/>
            <c:spPr>
              <a:solidFill>
                <a:schemeClr val="accent6">
                  <a:lumMod val="20000"/>
                  <a:lumOff val="80000"/>
                </a:schemeClr>
              </a:solidFill>
              <a:ln w="31750">
                <a:solidFill>
                  <a:schemeClr val="accent6">
                    <a:lumMod val="20000"/>
                    <a:lumOff val="80000"/>
                  </a:schemeClr>
                </a:solidFill>
              </a:ln>
              <a:effectLst/>
              <a:scene3d>
                <a:camera prst="orthographicFront"/>
                <a:lightRig rig="threePt" dir="t"/>
              </a:scene3d>
              <a:sp3d contourW="31750" prstMaterial="matte">
                <a:contourClr>
                  <a:schemeClr val="accent6">
                    <a:lumMod val="20000"/>
                    <a:lumOff val="80000"/>
                  </a:schemeClr>
                </a:contourClr>
              </a:sp3d>
            </c:spPr>
            <c:extLst>
              <c:ext xmlns:c16="http://schemas.microsoft.com/office/drawing/2014/chart" uri="{C3380CC4-5D6E-409C-BE32-E72D297353CC}">
                <c16:uniqueId val="{00000009-AFDF-4A8D-B4BA-183A88D55C7E}"/>
              </c:ext>
            </c:extLst>
          </c:dPt>
          <c:dLbls>
            <c:spPr>
              <a:noFill/>
              <a:ln>
                <a:noFill/>
              </a:ln>
              <a:effectLst/>
            </c:spPr>
            <c:txPr>
              <a:bodyPr rot="0" spcFirstLastPara="1" vertOverflow="ellipsis" vert="horz" wrap="square" lIns="38100" tIns="19050" rIns="38100" bIns="19050" anchor="ctr" anchorCtr="0">
                <a:spAutoFit/>
              </a:bodyPr>
              <a:lstStyle/>
              <a:p>
                <a:pPr>
                  <a:defRPr sz="1200" b="0" i="0" u="none" strike="noStrike" kern="1200" baseline="0">
                    <a:solidFill>
                      <a:schemeClr val="tx1">
                        <a:lumMod val="75000"/>
                        <a:lumOff val="25000"/>
                      </a:schemeClr>
                    </a:solidFill>
                    <a:latin typeface="+mn-lt"/>
                    <a:ea typeface="+mn-ea"/>
                    <a:cs typeface="+mn-cs"/>
                  </a:defRPr>
                </a:pPr>
                <a:endParaRPr lang="lt-LT"/>
              </a:p>
            </c:txPr>
            <c:dLblPos val="inEnd"/>
            <c:showLegendKey val="0"/>
            <c:showVal val="1"/>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Planas!$V$175:$V$179</c:f>
              <c:strCache>
                <c:ptCount val="5"/>
                <c:pt idx="0">
                  <c:v>Priemonė buvo įvykdyta pagal planą</c:v>
                </c:pt>
                <c:pt idx="1">
                  <c:v>Vykdant priemonę buvo pasiekta vertinimo kriterijų reikšmių mažiau nei 50 %</c:v>
                </c:pt>
                <c:pt idx="2">
                  <c:v>Vykdant priemonę buvo pasiekta vertinimo kriterijų reikšmių 50 % ir daugiau</c:v>
                </c:pt>
                <c:pt idx="3">
                  <c:v>Vykdant priemonę buvo pasiekta daugiau vertinimo kriterijų reikšmių nei planuota</c:v>
                </c:pt>
                <c:pt idx="4">
                  <c:v>Priemonė neįvykdyta, t.y. nepasiekta planuota vertinimo kriterijų reikšmė</c:v>
                </c:pt>
              </c:strCache>
            </c:strRef>
          </c:cat>
          <c:val>
            <c:numRef>
              <c:f>Planas!$W$62:$W$66</c:f>
              <c:numCache>
                <c:formatCode>General</c:formatCode>
                <c:ptCount val="5"/>
                <c:pt idx="0">
                  <c:v>8</c:v>
                </c:pt>
                <c:pt idx="2">
                  <c:v>3</c:v>
                </c:pt>
                <c:pt idx="3">
                  <c:v>4</c:v>
                </c:pt>
              </c:numCache>
            </c:numRef>
          </c:val>
          <c:extLst>
            <c:ext xmlns:c16="http://schemas.microsoft.com/office/drawing/2014/chart" uri="{C3380CC4-5D6E-409C-BE32-E72D297353CC}">
              <c16:uniqueId val="{0000000A-AFDF-4A8D-B4BA-183A88D55C7E}"/>
            </c:ext>
          </c:extLst>
        </c:ser>
        <c:dLbls>
          <c:dLblPos val="bestFit"/>
          <c:showLegendKey val="0"/>
          <c:showVal val="1"/>
          <c:showCatName val="0"/>
          <c:showSerName val="0"/>
          <c:showPercent val="0"/>
          <c:showBubbleSize val="0"/>
          <c:showLeaderLines val="1"/>
        </c:dLbls>
      </c:pie3DChart>
      <c:spPr>
        <a:solidFill>
          <a:schemeClr val="bg1">
            <a:lumMod val="95000"/>
          </a:schemeClr>
        </a:solidFill>
        <a:ln>
          <a:noFill/>
        </a:ln>
        <a:effectLst/>
      </c:spPr>
    </c:plotArea>
    <c:legend>
      <c:legendPos val="b"/>
      <c:layout>
        <c:manualLayout>
          <c:xMode val="edge"/>
          <c:yMode val="edge"/>
          <c:x val="2.256379873216996E-2"/>
          <c:y val="0.75093203096705152"/>
          <c:w val="0.95487225100822581"/>
          <c:h val="0.23416642482620731"/>
        </c:manualLayout>
      </c:layout>
      <c:overlay val="0"/>
      <c:spPr>
        <a:solidFill>
          <a:schemeClr val="bg1">
            <a:lumMod val="95000"/>
          </a:schemeClr>
        </a:solidFill>
        <a:ln>
          <a:gradFill flip="none" rotWithShape="1">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tileRect/>
          </a:gradFill>
        </a:ln>
        <a:effectLst/>
      </c:spPr>
      <c:txPr>
        <a:bodyPr rot="0" spcFirstLastPara="1" vertOverflow="ellipsis" vert="horz" wrap="square" anchor="ctr" anchorCtr="1"/>
        <a:lstStyle/>
        <a:p>
          <a:pPr>
            <a:defRPr sz="1200" b="0" i="0" u="none" strike="noStrike" kern="1200" baseline="0">
              <a:ln>
                <a:noFill/>
              </a:ln>
              <a:solidFill>
                <a:schemeClr val="tx1"/>
              </a:solidFill>
              <a:latin typeface="Times New Roman" panose="02020603050405020304" pitchFamily="18" charset="0"/>
              <a:ea typeface="+mn-ea"/>
              <a:cs typeface="Times New Roman" panose="02020603050405020304" pitchFamily="18" charset="0"/>
            </a:defRPr>
          </a:pPr>
          <a:endParaRPr lang="lt-LT"/>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lumMod val="85000"/>
      </a:schemeClr>
    </a:solidFill>
    <a:ln w="9525" cap="flat" cmpd="sng" algn="ctr">
      <a:solidFill>
        <a:schemeClr val="tx1">
          <a:lumMod val="15000"/>
          <a:lumOff val="85000"/>
        </a:schemeClr>
      </a:solidFill>
      <a:round/>
    </a:ln>
    <a:effectLst>
      <a:softEdge rad="0"/>
    </a:effectLst>
  </c:spPr>
  <c:txPr>
    <a:bodyPr/>
    <a:lstStyle/>
    <a:p>
      <a:pPr>
        <a:defRPr/>
      </a:pPr>
      <a:endParaRPr lang="lt-LT"/>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40" b="1" i="0" u="none" strike="noStrike" kern="1200" spc="0" baseline="0">
                <a:solidFill>
                  <a:schemeClr val="tx1"/>
                </a:solidFill>
                <a:latin typeface="Times New Roman" panose="02020603050405020304" pitchFamily="18" charset="0"/>
                <a:ea typeface="+mn-ea"/>
                <a:cs typeface="Times New Roman" panose="02020603050405020304" pitchFamily="18" charset="0"/>
              </a:defRPr>
            </a:pPr>
            <a:r>
              <a:rPr lang="lt-LT" b="1"/>
              <a:t>2024 m. 02 programos vykdymo palyginimas su 2023 m.</a:t>
            </a:r>
          </a:p>
        </c:rich>
      </c:tx>
      <c:overlay val="0"/>
      <c:spPr>
        <a:noFill/>
        <a:ln>
          <a:noFill/>
        </a:ln>
        <a:effectLst/>
      </c:spPr>
      <c:txPr>
        <a:bodyPr rot="0" spcFirstLastPara="1" vertOverflow="ellipsis" vert="horz" wrap="square" anchor="ctr" anchorCtr="1"/>
        <a:lstStyle/>
        <a:p>
          <a:pPr>
            <a:defRPr sz="1440" b="1" i="0" u="none" strike="noStrike" kern="1200" spc="0" baseline="0">
              <a:solidFill>
                <a:schemeClr val="tx1"/>
              </a:solidFill>
              <a:latin typeface="Times New Roman" panose="02020603050405020304" pitchFamily="18" charset="0"/>
              <a:ea typeface="+mn-ea"/>
              <a:cs typeface="Times New Roman" panose="02020603050405020304" pitchFamily="18" charset="0"/>
            </a:defRPr>
          </a:pPr>
          <a:endParaRPr lang="lt-LT"/>
        </a:p>
      </c:txPr>
    </c:title>
    <c:autoTitleDeleted val="0"/>
    <c:plotArea>
      <c:layout>
        <c:manualLayout>
          <c:layoutTarget val="inner"/>
          <c:xMode val="edge"/>
          <c:yMode val="edge"/>
          <c:x val="9.2114197530864195E-2"/>
          <c:y val="0.10936134259259259"/>
          <c:w val="0.81829984567901248"/>
          <c:h val="0.48786805555555546"/>
        </c:manualLayout>
      </c:layout>
      <c:barChart>
        <c:barDir val="col"/>
        <c:grouping val="clustered"/>
        <c:varyColors val="0"/>
        <c:ser>
          <c:idx val="0"/>
          <c:order val="0"/>
          <c:tx>
            <c:strRef>
              <c:f>'[1]2024 m'!$B$13</c:f>
              <c:strCache>
                <c:ptCount val="1"/>
                <c:pt idx="0">
                  <c:v>Priemonė buvo įvykdyta pagal planą</c:v>
                </c:pt>
              </c:strCache>
            </c:strRef>
          </c:tx>
          <c:spPr>
            <a:solidFill>
              <a:srgbClr val="E2EFDA"/>
            </a:solidFill>
            <a:ln>
              <a:noFill/>
            </a:ln>
            <a:effectLst/>
            <a:scene3d>
              <a:camera prst="orthographicFront"/>
              <a:lightRig rig="threePt" dir="t"/>
            </a:scene3d>
            <a:sp3d>
              <a:bevelT/>
            </a:sp3d>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lt-LT"/>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'[1]2024 m'!$C$12:$D$12</c:f>
              <c:numCache>
                <c:formatCode>General</c:formatCode>
                <c:ptCount val="2"/>
                <c:pt idx="0">
                  <c:v>2023</c:v>
                </c:pt>
                <c:pt idx="1">
                  <c:v>2024</c:v>
                </c:pt>
              </c:numCache>
            </c:numRef>
          </c:cat>
          <c:val>
            <c:numRef>
              <c:f>'[1]2024 m'!$C$13:$D$13</c:f>
              <c:numCache>
                <c:formatCode>General</c:formatCode>
                <c:ptCount val="2"/>
                <c:pt idx="0">
                  <c:v>10</c:v>
                </c:pt>
                <c:pt idx="1">
                  <c:v>8</c:v>
                </c:pt>
              </c:numCache>
            </c:numRef>
          </c:val>
          <c:extLst>
            <c:ext xmlns:c16="http://schemas.microsoft.com/office/drawing/2014/chart" uri="{C3380CC4-5D6E-409C-BE32-E72D297353CC}">
              <c16:uniqueId val="{00000000-D596-4E69-8666-A98EC76B486F}"/>
            </c:ext>
          </c:extLst>
        </c:ser>
        <c:ser>
          <c:idx val="1"/>
          <c:order val="1"/>
          <c:tx>
            <c:strRef>
              <c:f>'[1]2024 m'!$B$14</c:f>
              <c:strCache>
                <c:ptCount val="1"/>
                <c:pt idx="0">
                  <c:v>Vykdant priemonę buvo pasiekta vertinimo kriterijų reikšmių mažiau nei 50 %</c:v>
                </c:pt>
              </c:strCache>
            </c:strRef>
          </c:tx>
          <c:spPr>
            <a:solidFill>
              <a:srgbClr val="FFCCCC"/>
            </a:solidFill>
            <a:ln>
              <a:noFill/>
            </a:ln>
            <a:effectLst/>
            <a:scene3d>
              <a:camera prst="orthographicFront"/>
              <a:lightRig rig="threePt" dir="t"/>
            </a:scene3d>
            <a:sp3d>
              <a:bevelT/>
            </a:sp3d>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lt-LT"/>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'[1]2024 m'!$C$12:$D$12</c:f>
              <c:numCache>
                <c:formatCode>General</c:formatCode>
                <c:ptCount val="2"/>
                <c:pt idx="0">
                  <c:v>2023</c:v>
                </c:pt>
                <c:pt idx="1">
                  <c:v>2024</c:v>
                </c:pt>
              </c:numCache>
            </c:numRef>
          </c:cat>
          <c:val>
            <c:numRef>
              <c:f>'[1]2024 m'!$C$14:$D$14</c:f>
              <c:numCache>
                <c:formatCode>General</c:formatCode>
                <c:ptCount val="2"/>
                <c:pt idx="0">
                  <c:v>0</c:v>
                </c:pt>
                <c:pt idx="1">
                  <c:v>0</c:v>
                </c:pt>
              </c:numCache>
            </c:numRef>
          </c:val>
          <c:extLst>
            <c:ext xmlns:c16="http://schemas.microsoft.com/office/drawing/2014/chart" uri="{C3380CC4-5D6E-409C-BE32-E72D297353CC}">
              <c16:uniqueId val="{00000001-D596-4E69-8666-A98EC76B486F}"/>
            </c:ext>
          </c:extLst>
        </c:ser>
        <c:ser>
          <c:idx val="2"/>
          <c:order val="2"/>
          <c:tx>
            <c:strRef>
              <c:f>'[1]2024 m'!$B$15</c:f>
              <c:strCache>
                <c:ptCount val="1"/>
                <c:pt idx="0">
                  <c:v>Vykdant priemonę buvo pasiekta vertinimo kriterijų reikšmių 50 % ir daugiau</c:v>
                </c:pt>
              </c:strCache>
            </c:strRef>
          </c:tx>
          <c:spPr>
            <a:solidFill>
              <a:srgbClr val="FFC000"/>
            </a:solidFill>
            <a:ln>
              <a:noFill/>
            </a:ln>
            <a:effectLst/>
            <a:scene3d>
              <a:camera prst="orthographicFront"/>
              <a:lightRig rig="threePt" dir="t"/>
            </a:scene3d>
            <a:sp3d>
              <a:bevelT/>
            </a:sp3d>
          </c:spPr>
          <c:invertIfNegative val="0"/>
          <c:dLbls>
            <c:dLbl>
              <c:idx val="1"/>
              <c:layout>
                <c:manualLayout>
                  <c:x val="-2.1558645302260222E-2"/>
                  <c:y val="1.684943810882973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D596-4E69-8666-A98EC76B486F}"/>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lt-LT"/>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'[1]2024 m'!$C$12:$D$12</c:f>
              <c:numCache>
                <c:formatCode>General</c:formatCode>
                <c:ptCount val="2"/>
                <c:pt idx="0">
                  <c:v>2023</c:v>
                </c:pt>
                <c:pt idx="1">
                  <c:v>2024</c:v>
                </c:pt>
              </c:numCache>
            </c:numRef>
          </c:cat>
          <c:val>
            <c:numRef>
              <c:f>'[1]2024 m'!$C$15:$D$15</c:f>
              <c:numCache>
                <c:formatCode>General</c:formatCode>
                <c:ptCount val="2"/>
                <c:pt idx="0">
                  <c:v>3</c:v>
                </c:pt>
                <c:pt idx="1">
                  <c:v>3</c:v>
                </c:pt>
              </c:numCache>
            </c:numRef>
          </c:val>
          <c:extLst>
            <c:ext xmlns:c16="http://schemas.microsoft.com/office/drawing/2014/chart" uri="{C3380CC4-5D6E-409C-BE32-E72D297353CC}">
              <c16:uniqueId val="{00000003-D596-4E69-8666-A98EC76B486F}"/>
            </c:ext>
          </c:extLst>
        </c:ser>
        <c:ser>
          <c:idx val="3"/>
          <c:order val="3"/>
          <c:tx>
            <c:strRef>
              <c:f>'[1]2024 m'!$B$16</c:f>
              <c:strCache>
                <c:ptCount val="1"/>
                <c:pt idx="0">
                  <c:v>Vykdant priemonę buvo pasiekta daugiau vertinimo kriterijų reikšmių nei planuota</c:v>
                </c:pt>
              </c:strCache>
            </c:strRef>
          </c:tx>
          <c:spPr>
            <a:solidFill>
              <a:sysClr val="window" lastClr="FFFFFF">
                <a:lumMod val="85000"/>
              </a:sysClr>
            </a:solidFill>
            <a:ln>
              <a:noFill/>
            </a:ln>
            <a:effectLst/>
            <a:scene3d>
              <a:camera prst="orthographicFront"/>
              <a:lightRig rig="threePt" dir="t"/>
            </a:scene3d>
            <a:sp3d>
              <a:bevelT/>
            </a:sp3d>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lt-LT"/>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'[1]2024 m'!$C$12:$D$12</c:f>
              <c:numCache>
                <c:formatCode>General</c:formatCode>
                <c:ptCount val="2"/>
                <c:pt idx="0">
                  <c:v>2023</c:v>
                </c:pt>
                <c:pt idx="1">
                  <c:v>2024</c:v>
                </c:pt>
              </c:numCache>
            </c:numRef>
          </c:cat>
          <c:val>
            <c:numRef>
              <c:f>'[1]2024 m'!$C$16:$D$16</c:f>
              <c:numCache>
                <c:formatCode>General</c:formatCode>
                <c:ptCount val="2"/>
                <c:pt idx="0">
                  <c:v>3</c:v>
                </c:pt>
                <c:pt idx="1">
                  <c:v>4</c:v>
                </c:pt>
              </c:numCache>
            </c:numRef>
          </c:val>
          <c:extLst>
            <c:ext xmlns:c16="http://schemas.microsoft.com/office/drawing/2014/chart" uri="{C3380CC4-5D6E-409C-BE32-E72D297353CC}">
              <c16:uniqueId val="{00000004-D596-4E69-8666-A98EC76B486F}"/>
            </c:ext>
          </c:extLst>
        </c:ser>
        <c:ser>
          <c:idx val="4"/>
          <c:order val="4"/>
          <c:tx>
            <c:strRef>
              <c:f>'[1]2024 m'!$B$17</c:f>
              <c:strCache>
                <c:ptCount val="1"/>
                <c:pt idx="0">
                  <c:v>Priemonė neįvykdyta, t.y. nepasiekta planuota vertinimo kriterijų reikšmė</c:v>
                </c:pt>
              </c:strCache>
            </c:strRef>
          </c:tx>
          <c:spPr>
            <a:solidFill>
              <a:srgbClr val="FCE4D6"/>
            </a:solidFill>
            <a:ln>
              <a:noFill/>
            </a:ln>
            <a:effectLst/>
            <a:scene3d>
              <a:camera prst="orthographicFront"/>
              <a:lightRig rig="threePt" dir="t"/>
            </a:scene3d>
            <a:sp3d>
              <a:bevelT/>
            </a:sp3d>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lt-LT"/>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'[1]2024 m'!$C$12:$D$12</c:f>
              <c:numCache>
                <c:formatCode>General</c:formatCode>
                <c:ptCount val="2"/>
                <c:pt idx="0">
                  <c:v>2023</c:v>
                </c:pt>
                <c:pt idx="1">
                  <c:v>2024</c:v>
                </c:pt>
              </c:numCache>
            </c:numRef>
          </c:cat>
          <c:val>
            <c:numRef>
              <c:f>'[1]2024 m'!$C$17:$D$17</c:f>
              <c:numCache>
                <c:formatCode>General</c:formatCode>
                <c:ptCount val="2"/>
                <c:pt idx="0">
                  <c:v>1</c:v>
                </c:pt>
                <c:pt idx="1">
                  <c:v>0</c:v>
                </c:pt>
              </c:numCache>
            </c:numRef>
          </c:val>
          <c:extLst>
            <c:ext xmlns:c16="http://schemas.microsoft.com/office/drawing/2014/chart" uri="{C3380CC4-5D6E-409C-BE32-E72D297353CC}">
              <c16:uniqueId val="{00000005-D596-4E69-8666-A98EC76B486F}"/>
            </c:ext>
          </c:extLst>
        </c:ser>
        <c:dLbls>
          <c:showLegendKey val="0"/>
          <c:showVal val="1"/>
          <c:showCatName val="0"/>
          <c:showSerName val="0"/>
          <c:showPercent val="0"/>
          <c:showBubbleSize val="0"/>
        </c:dLbls>
        <c:gapWidth val="150"/>
        <c:axId val="1495728303"/>
        <c:axId val="1495744527"/>
      </c:barChart>
      <c:lineChart>
        <c:grouping val="standard"/>
        <c:varyColors val="0"/>
        <c:ser>
          <c:idx val="5"/>
          <c:order val="5"/>
          <c:tx>
            <c:strRef>
              <c:f>'[1]2024 m'!$B$18</c:f>
              <c:strCache>
                <c:ptCount val="1"/>
                <c:pt idx="0">
                  <c:v>Iš viso programų priemonių</c:v>
                </c:pt>
              </c:strCache>
            </c:strRef>
          </c:tx>
          <c:spPr>
            <a:ln w="28575" cap="rnd" cmpd="sng">
              <a:solidFill>
                <a:srgbClr val="FFC000"/>
              </a:solidFill>
              <a:round/>
            </a:ln>
            <a:effectLst>
              <a:softEdge rad="0"/>
            </a:effectLst>
          </c:spPr>
          <c:marker>
            <c:symbol val="circle"/>
            <c:size val="7"/>
            <c:spPr>
              <a:solidFill>
                <a:srgbClr val="8064A2">
                  <a:lumMod val="75000"/>
                </a:srgbClr>
              </a:solidFill>
              <a:ln w="9525">
                <a:solidFill>
                  <a:schemeClr val="accent4"/>
                </a:solidFill>
              </a:ln>
              <a:effectLst>
                <a:softEdge rad="0"/>
              </a:effectLst>
            </c:spPr>
          </c:marker>
          <c:dLbls>
            <c:dLbl>
              <c:idx val="0"/>
              <c:layout>
                <c:manualLayout>
                  <c:x val="-3.1358029530560147E-2"/>
                  <c:y val="-3.931535558726927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D596-4E69-8666-A98EC76B486F}"/>
                </c:ext>
              </c:extLst>
            </c:dLbl>
            <c:dLbl>
              <c:idx val="1"/>
              <c:layout>
                <c:manualLayout>
                  <c:x val="-3.1358029530560112E-2"/>
                  <c:y val="-4.212359527207425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D596-4E69-8666-A98EC76B486F}"/>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lt-LT"/>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'[1]2024 m'!$C$12:$D$12</c:f>
              <c:numCache>
                <c:formatCode>General</c:formatCode>
                <c:ptCount val="2"/>
                <c:pt idx="0">
                  <c:v>2023</c:v>
                </c:pt>
                <c:pt idx="1">
                  <c:v>2024</c:v>
                </c:pt>
              </c:numCache>
            </c:numRef>
          </c:cat>
          <c:val>
            <c:numRef>
              <c:f>'[1]2024 m'!$C$18:$D$18</c:f>
              <c:numCache>
                <c:formatCode>General</c:formatCode>
                <c:ptCount val="2"/>
                <c:pt idx="0">
                  <c:v>17</c:v>
                </c:pt>
                <c:pt idx="1">
                  <c:v>15</c:v>
                </c:pt>
              </c:numCache>
            </c:numRef>
          </c:val>
          <c:smooth val="0"/>
          <c:extLst>
            <c:ext xmlns:c16="http://schemas.microsoft.com/office/drawing/2014/chart" uri="{C3380CC4-5D6E-409C-BE32-E72D297353CC}">
              <c16:uniqueId val="{00000008-D596-4E69-8666-A98EC76B486F}"/>
            </c:ext>
          </c:extLst>
        </c:ser>
        <c:dLbls>
          <c:showLegendKey val="0"/>
          <c:showVal val="1"/>
          <c:showCatName val="0"/>
          <c:showSerName val="0"/>
          <c:showPercent val="0"/>
          <c:showBubbleSize val="0"/>
        </c:dLbls>
        <c:marker val="1"/>
        <c:smooth val="0"/>
        <c:axId val="1632945087"/>
        <c:axId val="1632942591"/>
      </c:lineChart>
      <c:catAx>
        <c:axId val="1495728303"/>
        <c:scaling>
          <c:orientation val="minMax"/>
        </c:scaling>
        <c:delete val="0"/>
        <c:axPos val="b"/>
        <c:title>
          <c:tx>
            <c:rich>
              <a:bodyPr rot="0" spcFirstLastPara="1" vertOverflow="ellipsis" vert="horz" wrap="square" anchor="ctr" anchorCtr="1"/>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r>
                  <a:rPr lang="lt-LT"/>
                  <a:t>Metai</a:t>
                </a:r>
              </a:p>
            </c:rich>
          </c:tx>
          <c:layout>
            <c:manualLayout>
              <c:xMode val="edge"/>
              <c:yMode val="edge"/>
              <c:x val="0.48600648148148146"/>
              <c:y val="0.63521180555555556"/>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lt-LT"/>
            </a:p>
          </c:txPr>
        </c:title>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lt-LT"/>
          </a:p>
        </c:txPr>
        <c:crossAx val="1495744527"/>
        <c:crosses val="autoZero"/>
        <c:auto val="1"/>
        <c:lblAlgn val="ctr"/>
        <c:lblOffset val="100"/>
        <c:noMultiLvlLbl val="0"/>
      </c:catAx>
      <c:valAx>
        <c:axId val="1495744527"/>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r>
                  <a:rPr lang="lt-LT" sz="1200"/>
                  <a:t>Progamų priemonių skaičius</a:t>
                </a:r>
              </a:p>
            </c:rich>
          </c:tx>
          <c:layout>
            <c:manualLayout>
              <c:xMode val="edge"/>
              <c:yMode val="edge"/>
              <c:x val="1.0191358024691358E-2"/>
              <c:y val="0.15776712661357695"/>
            </c:manualLayout>
          </c:layout>
          <c:overlay val="0"/>
          <c:spPr>
            <a:noFill/>
            <a:ln>
              <a:noFill/>
            </a:ln>
            <a:effectLst/>
          </c:spPr>
          <c:txPr>
            <a:bodyPr rot="-5400000" spcFirstLastPara="1" vertOverflow="ellipsis" vert="horz" wrap="square" anchor="ctr" anchorCtr="1"/>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lt-LT"/>
            </a:p>
          </c:txPr>
        </c:title>
        <c:numFmt formatCode="General"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lt-LT"/>
          </a:p>
        </c:txPr>
        <c:crossAx val="1495728303"/>
        <c:crosses val="autoZero"/>
        <c:crossBetween val="between"/>
      </c:valAx>
      <c:valAx>
        <c:axId val="1632942591"/>
        <c:scaling>
          <c:orientation val="minMax"/>
        </c:scaling>
        <c:delete val="0"/>
        <c:axPos val="r"/>
        <c:title>
          <c:tx>
            <c:rich>
              <a:bodyPr rot="-5400000" spcFirstLastPara="1" vertOverflow="ellipsis" vert="horz" wrap="square" anchor="ctr" anchorCtr="1"/>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r>
                  <a:rPr lang="lt-LT"/>
                  <a:t>Programų</a:t>
                </a:r>
                <a:r>
                  <a:rPr lang="lt-LT" baseline="0"/>
                  <a:t> priemonių skaičius</a:t>
                </a:r>
                <a:endParaRPr lang="lt-LT"/>
              </a:p>
            </c:rich>
          </c:tx>
          <c:overlay val="0"/>
          <c:spPr>
            <a:noFill/>
            <a:ln>
              <a:noFill/>
            </a:ln>
            <a:effectLst/>
          </c:spPr>
          <c:txPr>
            <a:bodyPr rot="-5400000" spcFirstLastPara="1" vertOverflow="ellipsis" vert="horz" wrap="square" anchor="ctr" anchorCtr="1"/>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lt-LT"/>
            </a:p>
          </c:txPr>
        </c:title>
        <c:numFmt formatCode="General"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lt-LT"/>
          </a:p>
        </c:txPr>
        <c:crossAx val="1632945087"/>
        <c:crosses val="max"/>
        <c:crossBetween val="between"/>
      </c:valAx>
      <c:catAx>
        <c:axId val="1632945087"/>
        <c:scaling>
          <c:orientation val="minMax"/>
        </c:scaling>
        <c:delete val="1"/>
        <c:axPos val="b"/>
        <c:numFmt formatCode="General" sourceLinked="1"/>
        <c:majorTickMark val="out"/>
        <c:minorTickMark val="none"/>
        <c:tickLblPos val="nextTo"/>
        <c:crossAx val="1632942591"/>
        <c:crosses val="autoZero"/>
        <c:auto val="1"/>
        <c:lblAlgn val="ctr"/>
        <c:lblOffset val="100"/>
        <c:noMultiLvlLbl val="0"/>
      </c:catAx>
      <c:spPr>
        <a:solidFill>
          <a:sysClr val="window" lastClr="FFFFFF">
            <a:lumMod val="95000"/>
          </a:sysClr>
        </a:solidFill>
        <a:ln>
          <a:noFill/>
        </a:ln>
        <a:effectLst/>
      </c:spPr>
    </c:plotArea>
    <c:legend>
      <c:legendPos val="b"/>
      <c:legendEntry>
        <c:idx val="5"/>
        <c:txPr>
          <a:bodyPr rot="0" spcFirstLastPara="1" vertOverflow="ellipsis" vert="horz" wrap="square" anchor="ctr" anchorCtr="1"/>
          <a:lstStyle/>
          <a:p>
            <a:pPr>
              <a:defRPr sz="1200" b="0" i="0" u="none" strike="noStrike" kern="1200" baseline="0">
                <a:ln>
                  <a:noFill/>
                </a:ln>
                <a:solidFill>
                  <a:schemeClr val="tx1"/>
                </a:solidFill>
                <a:latin typeface="Times New Roman" panose="02020603050405020304" pitchFamily="18" charset="0"/>
                <a:ea typeface="+mn-ea"/>
                <a:cs typeface="Times New Roman" panose="02020603050405020304" pitchFamily="18" charset="0"/>
              </a:defRPr>
            </a:pPr>
            <a:endParaRPr lang="lt-LT"/>
          </a:p>
        </c:txPr>
      </c:legendEntry>
      <c:layout>
        <c:manualLayout>
          <c:xMode val="edge"/>
          <c:yMode val="edge"/>
          <c:x val="4.5853402137870689E-2"/>
          <c:y val="0.68474214831662616"/>
          <c:w val="0.92355570987654323"/>
          <c:h val="0.29560017388973925"/>
        </c:manualLayout>
      </c:layout>
      <c:overlay val="0"/>
      <c:spPr>
        <a:solidFill>
          <a:sysClr val="window" lastClr="FFFFFF">
            <a:lumMod val="95000"/>
          </a:sysClr>
        </a:solidFill>
        <a:ln>
          <a:noFill/>
        </a:ln>
        <a:effectLst/>
      </c:spPr>
      <c:txPr>
        <a:bodyPr rot="0" spcFirstLastPara="1" vertOverflow="ellipsis" vert="horz" wrap="square" anchor="ctr" anchorCtr="1"/>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lt-LT"/>
        </a:p>
      </c:txPr>
    </c:legend>
    <c:plotVisOnly val="1"/>
    <c:dispBlanksAs val="gap"/>
    <c:showDLblsOverMax val="0"/>
  </c:chart>
  <c:spPr>
    <a:solidFill>
      <a:schemeClr val="bg1">
        <a:lumMod val="85000"/>
      </a:schemeClr>
    </a:solidFill>
    <a:ln w="9525" cap="flat" cmpd="sng" algn="ctr">
      <a:solidFill>
        <a:schemeClr val="tx1">
          <a:lumMod val="15000"/>
          <a:lumOff val="85000"/>
        </a:schemeClr>
      </a:solidFill>
      <a:round/>
    </a:ln>
    <a:effectLst/>
  </c:spPr>
  <c:txPr>
    <a:bodyPr/>
    <a:lstStyle/>
    <a:p>
      <a:pPr>
        <a:defRPr sz="1200">
          <a:solidFill>
            <a:schemeClr val="tx1"/>
          </a:solidFill>
          <a:latin typeface="Times New Roman" panose="02020603050405020304" pitchFamily="18" charset="0"/>
          <a:cs typeface="Times New Roman" panose="02020603050405020304" pitchFamily="18" charset="0"/>
        </a:defRPr>
      </a:pPr>
      <a:endParaRPr lang="lt-LT"/>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a:defRPr sz="1400" b="1" i="0" u="none" strike="noStrike" kern="1200" spc="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r>
              <a:rPr lang="lt-LT" b="1">
                <a:latin typeface="Times New Roman" panose="02020603050405020304" pitchFamily="18" charset="0"/>
                <a:cs typeface="Times New Roman" panose="02020603050405020304" pitchFamily="18" charset="0"/>
              </a:rPr>
              <a:t>03 programos vykdymas</a:t>
            </a:r>
            <a:endParaRPr lang="en-US" b="1">
              <a:latin typeface="Times New Roman" panose="02020603050405020304" pitchFamily="18" charset="0"/>
              <a:cs typeface="Times New Roman" panose="02020603050405020304" pitchFamily="18" charset="0"/>
            </a:endParaRPr>
          </a:p>
        </c:rich>
      </c:tx>
      <c:layout>
        <c:manualLayout>
          <c:xMode val="edge"/>
          <c:yMode val="edge"/>
          <c:x val="0.33486259871065305"/>
          <c:y val="2.2352316310111694E-2"/>
        </c:manualLayout>
      </c:layout>
      <c:overlay val="0"/>
      <c:spPr>
        <a:noFill/>
        <a:ln>
          <a:noFill/>
        </a:ln>
        <a:effectLst/>
      </c:spPr>
      <c:txPr>
        <a:bodyPr rot="0" spcFirstLastPara="1" vertOverflow="ellipsis" vert="horz" wrap="square" anchor="ctr" anchorCtr="1"/>
        <a:lstStyle/>
        <a:p>
          <a:pPr algn="ctr">
            <a:defRPr sz="1400" b="1" i="0" u="none" strike="noStrike" kern="1200" spc="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en-US"/>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spPr>
            <a:ln w="31750"/>
            <a:scene3d>
              <a:camera prst="orthographicFront"/>
              <a:lightRig rig="threePt" dir="t"/>
            </a:scene3d>
            <a:sp3d prstMaterial="matte">
              <a:contourClr>
                <a:srgbClr val="000000"/>
              </a:contourClr>
            </a:sp3d>
          </c:spPr>
          <c:explosion val="3"/>
          <c:dPt>
            <c:idx val="0"/>
            <c:bubble3D val="0"/>
            <c:spPr>
              <a:solidFill>
                <a:schemeClr val="accent3">
                  <a:lumMod val="20000"/>
                  <a:lumOff val="80000"/>
                </a:schemeClr>
              </a:solidFill>
              <a:ln w="31750">
                <a:solidFill>
                  <a:schemeClr val="accent3">
                    <a:lumMod val="20000"/>
                    <a:lumOff val="80000"/>
                  </a:schemeClr>
                </a:solidFill>
              </a:ln>
              <a:effectLst/>
              <a:scene3d>
                <a:camera prst="orthographicFront"/>
                <a:lightRig rig="threePt" dir="t"/>
              </a:scene3d>
              <a:sp3d contourW="31750" prstMaterial="matte">
                <a:contourClr>
                  <a:schemeClr val="accent3">
                    <a:lumMod val="20000"/>
                    <a:lumOff val="80000"/>
                  </a:schemeClr>
                </a:contourClr>
              </a:sp3d>
            </c:spPr>
            <c:extLst>
              <c:ext xmlns:c16="http://schemas.microsoft.com/office/drawing/2014/chart" uri="{C3380CC4-5D6E-409C-BE32-E72D297353CC}">
                <c16:uniqueId val="{00000001-9DAF-4007-A55F-CEB09A42886C}"/>
              </c:ext>
            </c:extLst>
          </c:dPt>
          <c:dPt>
            <c:idx val="1"/>
            <c:bubble3D val="0"/>
            <c:spPr>
              <a:solidFill>
                <a:srgbClr val="FFCCCC"/>
              </a:solidFill>
              <a:ln w="31750">
                <a:solidFill>
                  <a:srgbClr val="FFCCCC"/>
                </a:solidFill>
              </a:ln>
              <a:effectLst/>
              <a:scene3d>
                <a:camera prst="orthographicFront"/>
                <a:lightRig rig="threePt" dir="t"/>
              </a:scene3d>
              <a:sp3d contourW="31750" prstMaterial="matte">
                <a:contourClr>
                  <a:srgbClr val="FFCCCC"/>
                </a:contourClr>
              </a:sp3d>
            </c:spPr>
            <c:extLst>
              <c:ext xmlns:c16="http://schemas.microsoft.com/office/drawing/2014/chart" uri="{C3380CC4-5D6E-409C-BE32-E72D297353CC}">
                <c16:uniqueId val="{00000003-9DAF-4007-A55F-CEB09A42886C}"/>
              </c:ext>
            </c:extLst>
          </c:dPt>
          <c:dPt>
            <c:idx val="2"/>
            <c:bubble3D val="0"/>
            <c:spPr>
              <a:solidFill>
                <a:srgbClr val="FFC000"/>
              </a:solidFill>
              <a:ln w="31750">
                <a:solidFill>
                  <a:srgbClr val="FFC000"/>
                </a:solidFill>
              </a:ln>
              <a:effectLst/>
              <a:scene3d>
                <a:camera prst="orthographicFront"/>
                <a:lightRig rig="threePt" dir="t"/>
              </a:scene3d>
              <a:sp3d contourW="31750" prstMaterial="matte">
                <a:contourClr>
                  <a:srgbClr val="FFC000"/>
                </a:contourClr>
              </a:sp3d>
            </c:spPr>
            <c:extLst>
              <c:ext xmlns:c16="http://schemas.microsoft.com/office/drawing/2014/chart" uri="{C3380CC4-5D6E-409C-BE32-E72D297353CC}">
                <c16:uniqueId val="{00000005-9DAF-4007-A55F-CEB09A42886C}"/>
              </c:ext>
            </c:extLst>
          </c:dPt>
          <c:dPt>
            <c:idx val="3"/>
            <c:bubble3D val="0"/>
            <c:spPr>
              <a:solidFill>
                <a:schemeClr val="bg1">
                  <a:lumMod val="85000"/>
                </a:schemeClr>
              </a:solidFill>
              <a:ln w="31750">
                <a:solidFill>
                  <a:schemeClr val="bg1">
                    <a:lumMod val="85000"/>
                  </a:schemeClr>
                </a:solidFill>
              </a:ln>
              <a:effectLst/>
              <a:scene3d>
                <a:camera prst="orthographicFront"/>
                <a:lightRig rig="threePt" dir="t"/>
              </a:scene3d>
              <a:sp3d contourW="31750" prstMaterial="matte">
                <a:contourClr>
                  <a:schemeClr val="bg1">
                    <a:lumMod val="85000"/>
                  </a:schemeClr>
                </a:contourClr>
              </a:sp3d>
            </c:spPr>
            <c:extLst>
              <c:ext xmlns:c16="http://schemas.microsoft.com/office/drawing/2014/chart" uri="{C3380CC4-5D6E-409C-BE32-E72D297353CC}">
                <c16:uniqueId val="{00000007-9DAF-4007-A55F-CEB09A42886C}"/>
              </c:ext>
            </c:extLst>
          </c:dPt>
          <c:dPt>
            <c:idx val="4"/>
            <c:bubble3D val="0"/>
            <c:spPr>
              <a:solidFill>
                <a:schemeClr val="accent6">
                  <a:lumMod val="20000"/>
                  <a:lumOff val="80000"/>
                </a:schemeClr>
              </a:solidFill>
              <a:ln w="31750">
                <a:solidFill>
                  <a:schemeClr val="accent6">
                    <a:lumMod val="20000"/>
                    <a:lumOff val="80000"/>
                  </a:schemeClr>
                </a:solidFill>
              </a:ln>
              <a:effectLst/>
              <a:scene3d>
                <a:camera prst="orthographicFront"/>
                <a:lightRig rig="threePt" dir="t"/>
              </a:scene3d>
              <a:sp3d contourW="31750" prstMaterial="matte">
                <a:contourClr>
                  <a:schemeClr val="accent6">
                    <a:lumMod val="20000"/>
                    <a:lumOff val="80000"/>
                  </a:schemeClr>
                </a:contourClr>
              </a:sp3d>
            </c:spPr>
            <c:extLst>
              <c:ext xmlns:c16="http://schemas.microsoft.com/office/drawing/2014/chart" uri="{C3380CC4-5D6E-409C-BE32-E72D297353CC}">
                <c16:uniqueId val="{00000009-9DAF-4007-A55F-CEB09A42886C}"/>
              </c:ext>
            </c:extLst>
          </c:dPt>
          <c:dLbls>
            <c:spPr>
              <a:noFill/>
              <a:ln>
                <a:noFill/>
              </a:ln>
              <a:effectLst/>
            </c:spPr>
            <c:txPr>
              <a:bodyPr rot="0" spcFirstLastPara="1" vertOverflow="ellipsis" vert="horz" wrap="square" lIns="38100" tIns="19050" rIns="38100" bIns="19050" anchor="ctr" anchorCtr="0">
                <a:spAutoFit/>
              </a:bodyPr>
              <a:lstStyle/>
              <a:p>
                <a:pPr>
                  <a:defRPr sz="1200" b="0" i="0" u="none" strike="noStrike" kern="1200" baseline="0">
                    <a:solidFill>
                      <a:schemeClr val="tx1">
                        <a:lumMod val="75000"/>
                        <a:lumOff val="25000"/>
                      </a:schemeClr>
                    </a:solidFill>
                    <a:latin typeface="+mn-lt"/>
                    <a:ea typeface="+mn-ea"/>
                    <a:cs typeface="+mn-cs"/>
                  </a:defRPr>
                </a:pPr>
                <a:endParaRPr lang="lt-LT"/>
              </a:p>
            </c:txPr>
            <c:dLblPos val="inEnd"/>
            <c:showLegendKey val="0"/>
            <c:showVal val="1"/>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extLst>
                <c:ext xmlns:c15="http://schemas.microsoft.com/office/drawing/2012/chart" uri="{02D57815-91ED-43cb-92C2-25804820EDAC}">
                  <c15:fullRef>
                    <c15:sqref>Planas!$V$62:$W$66</c15:sqref>
                  </c15:fullRef>
                  <c15:levelRef>
                    <c15:sqref>Planas!$V$62:$V$66</c15:sqref>
                  </c15:levelRef>
                </c:ext>
              </c:extLst>
              <c:f>Planas!$V$62:$V$66</c:f>
              <c:strCache>
                <c:ptCount val="5"/>
                <c:pt idx="0">
                  <c:v>Priemonė buvo įvykdyta pagal planą</c:v>
                </c:pt>
                <c:pt idx="1">
                  <c:v>Vykdant priemonę buvo pasiekta vertinimo kriterijų reikšmių mažiau nei 50 %</c:v>
                </c:pt>
                <c:pt idx="2">
                  <c:v>Vykdant priemonę buvo pasiekta vertinimo kriterijų reikšmių 50 % ir daugiau</c:v>
                </c:pt>
                <c:pt idx="3">
                  <c:v>Vykdant priemonę buvo pasiekta daugiau vertinimo kriterijų reikšmių nei planuota</c:v>
                </c:pt>
                <c:pt idx="4">
                  <c:v>Priemonė neįvykdyta, t.y. nepasiekta planuota vertinimo kriterijų reikšmė</c:v>
                </c:pt>
              </c:strCache>
            </c:strRef>
          </c:cat>
          <c:val>
            <c:numRef>
              <c:f>Planas!$W$127:$W$131</c:f>
              <c:numCache>
                <c:formatCode>General</c:formatCode>
                <c:ptCount val="5"/>
                <c:pt idx="0">
                  <c:v>6</c:v>
                </c:pt>
                <c:pt idx="2">
                  <c:v>3</c:v>
                </c:pt>
                <c:pt idx="3">
                  <c:v>5</c:v>
                </c:pt>
              </c:numCache>
            </c:numRef>
          </c:val>
          <c:extLst>
            <c:ext xmlns:c16="http://schemas.microsoft.com/office/drawing/2014/chart" uri="{C3380CC4-5D6E-409C-BE32-E72D297353CC}">
              <c16:uniqueId val="{0000000A-9DAF-4007-A55F-CEB09A42886C}"/>
            </c:ext>
          </c:extLst>
        </c:ser>
        <c:dLbls>
          <c:dLblPos val="bestFit"/>
          <c:showLegendKey val="0"/>
          <c:showVal val="1"/>
          <c:showCatName val="0"/>
          <c:showSerName val="0"/>
          <c:showPercent val="0"/>
          <c:showBubbleSize val="0"/>
          <c:showLeaderLines val="1"/>
        </c:dLbls>
      </c:pie3DChart>
      <c:spPr>
        <a:solidFill>
          <a:schemeClr val="bg1">
            <a:lumMod val="95000"/>
          </a:schemeClr>
        </a:solidFill>
        <a:ln>
          <a:noFill/>
        </a:ln>
        <a:effectLst/>
      </c:spPr>
    </c:plotArea>
    <c:legend>
      <c:legendPos val="b"/>
      <c:layout>
        <c:manualLayout>
          <c:xMode val="edge"/>
          <c:yMode val="edge"/>
          <c:x val="2.256379873216996E-2"/>
          <c:y val="0.75093203096705152"/>
          <c:w val="0.95487225100822581"/>
          <c:h val="0.23416642482620731"/>
        </c:manualLayout>
      </c:layout>
      <c:overlay val="0"/>
      <c:spPr>
        <a:solidFill>
          <a:schemeClr val="bg1">
            <a:lumMod val="95000"/>
          </a:schemeClr>
        </a:solidFill>
        <a:ln>
          <a:gradFill flip="none" rotWithShape="1">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tileRect/>
          </a:gradFill>
        </a:ln>
        <a:effectLst/>
      </c:spPr>
      <c:txPr>
        <a:bodyPr rot="0" spcFirstLastPara="1" vertOverflow="ellipsis" vert="horz" wrap="square" anchor="ctr" anchorCtr="1"/>
        <a:lstStyle/>
        <a:p>
          <a:pPr>
            <a:defRPr sz="1200" b="0" i="0" u="none" strike="noStrike" kern="1200" baseline="0">
              <a:ln>
                <a:noFill/>
              </a:ln>
              <a:solidFill>
                <a:schemeClr val="tx1"/>
              </a:solidFill>
              <a:latin typeface="Times New Roman" panose="02020603050405020304" pitchFamily="18" charset="0"/>
              <a:ea typeface="+mn-ea"/>
              <a:cs typeface="Times New Roman" panose="02020603050405020304" pitchFamily="18" charset="0"/>
            </a:defRPr>
          </a:pPr>
          <a:endParaRPr lang="lt-LT"/>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lumMod val="85000"/>
      </a:schemeClr>
    </a:solidFill>
    <a:ln w="9525" cap="flat" cmpd="sng" algn="ctr">
      <a:solidFill>
        <a:schemeClr val="tx1">
          <a:lumMod val="15000"/>
          <a:lumOff val="85000"/>
        </a:schemeClr>
      </a:solidFill>
      <a:round/>
    </a:ln>
    <a:effectLst>
      <a:softEdge rad="0"/>
    </a:effectLst>
  </c:spPr>
  <c:txPr>
    <a:bodyPr/>
    <a:lstStyle/>
    <a:p>
      <a:pPr>
        <a:defRPr/>
      </a:pPr>
      <a:endParaRPr lang="lt-LT"/>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1" i="0" u="none" strike="noStrike" kern="1200" spc="0" baseline="0">
                <a:solidFill>
                  <a:schemeClr val="tx1"/>
                </a:solidFill>
                <a:latin typeface="Times New Roman" panose="02020603050405020304" pitchFamily="18" charset="0"/>
                <a:ea typeface="+mn-ea"/>
                <a:cs typeface="Times New Roman" panose="02020603050405020304" pitchFamily="18" charset="0"/>
              </a:defRPr>
            </a:pPr>
            <a:r>
              <a:rPr lang="lt-LT" b="1"/>
              <a:t>2024 m. 03 programos vykdymo palyginimas su 2023 m.</a:t>
            </a:r>
          </a:p>
        </c:rich>
      </c:tx>
      <c:overlay val="0"/>
      <c:spPr>
        <a:noFill/>
        <a:ln>
          <a:noFill/>
        </a:ln>
        <a:effectLst/>
      </c:spPr>
      <c:txPr>
        <a:bodyPr rot="0" spcFirstLastPara="1" vertOverflow="ellipsis" vert="horz" wrap="square" anchor="ctr" anchorCtr="1"/>
        <a:lstStyle/>
        <a:p>
          <a:pPr>
            <a:defRPr sz="1440" b="1" i="0" u="none" strike="noStrike" kern="1200" spc="0" baseline="0">
              <a:solidFill>
                <a:schemeClr val="tx1"/>
              </a:solidFill>
              <a:latin typeface="Times New Roman" panose="02020603050405020304" pitchFamily="18" charset="0"/>
              <a:ea typeface="+mn-ea"/>
              <a:cs typeface="Times New Roman" panose="02020603050405020304" pitchFamily="18" charset="0"/>
            </a:defRPr>
          </a:pPr>
          <a:endParaRPr lang="lt-LT"/>
        </a:p>
      </c:txPr>
    </c:title>
    <c:autoTitleDeleted val="0"/>
    <c:plotArea>
      <c:layout>
        <c:manualLayout>
          <c:layoutTarget val="inner"/>
          <c:xMode val="edge"/>
          <c:yMode val="edge"/>
          <c:x val="9.2114197530864195E-2"/>
          <c:y val="0.10936134259259259"/>
          <c:w val="0.81829984567901248"/>
          <c:h val="0.48786805555555546"/>
        </c:manualLayout>
      </c:layout>
      <c:barChart>
        <c:barDir val="col"/>
        <c:grouping val="clustered"/>
        <c:varyColors val="0"/>
        <c:ser>
          <c:idx val="0"/>
          <c:order val="0"/>
          <c:tx>
            <c:strRef>
              <c:f>'[1]2024 m'!$B$25</c:f>
              <c:strCache>
                <c:ptCount val="1"/>
                <c:pt idx="0">
                  <c:v>Priemonė buvo įvykdyta pagal planą</c:v>
                </c:pt>
              </c:strCache>
            </c:strRef>
          </c:tx>
          <c:spPr>
            <a:solidFill>
              <a:srgbClr val="E2EFDA"/>
            </a:solidFill>
            <a:ln>
              <a:noFill/>
            </a:ln>
            <a:effectLst/>
            <a:scene3d>
              <a:camera prst="orthographicFront"/>
              <a:lightRig rig="threePt" dir="t"/>
            </a:scene3d>
            <a:sp3d>
              <a:bevelT/>
            </a:sp3d>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lt-LT"/>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'[1]2024 m'!$C$24:$D$24</c:f>
              <c:numCache>
                <c:formatCode>General</c:formatCode>
                <c:ptCount val="2"/>
                <c:pt idx="0">
                  <c:v>2023</c:v>
                </c:pt>
                <c:pt idx="1">
                  <c:v>2024</c:v>
                </c:pt>
              </c:numCache>
            </c:numRef>
          </c:cat>
          <c:val>
            <c:numRef>
              <c:f>'[1]2024 m'!$C$25:$D$25</c:f>
              <c:numCache>
                <c:formatCode>General</c:formatCode>
                <c:ptCount val="2"/>
                <c:pt idx="0">
                  <c:v>7</c:v>
                </c:pt>
                <c:pt idx="1">
                  <c:v>6</c:v>
                </c:pt>
              </c:numCache>
            </c:numRef>
          </c:val>
          <c:extLst>
            <c:ext xmlns:c16="http://schemas.microsoft.com/office/drawing/2014/chart" uri="{C3380CC4-5D6E-409C-BE32-E72D297353CC}">
              <c16:uniqueId val="{00000000-587E-48A0-A432-8F88937920E7}"/>
            </c:ext>
          </c:extLst>
        </c:ser>
        <c:ser>
          <c:idx val="1"/>
          <c:order val="1"/>
          <c:tx>
            <c:strRef>
              <c:f>'[1]2024 m'!$B$26</c:f>
              <c:strCache>
                <c:ptCount val="1"/>
                <c:pt idx="0">
                  <c:v>Vykdant priemonę buvo pasiekta vertinimo kriterijų reikšmių mažiau nei 50 %</c:v>
                </c:pt>
              </c:strCache>
            </c:strRef>
          </c:tx>
          <c:spPr>
            <a:solidFill>
              <a:srgbClr val="FFCCCC"/>
            </a:solidFill>
            <a:ln>
              <a:noFill/>
            </a:ln>
            <a:effectLst/>
            <a:scene3d>
              <a:camera prst="orthographicFront"/>
              <a:lightRig rig="threePt" dir="t"/>
            </a:scene3d>
            <a:sp3d>
              <a:bevelT/>
            </a:sp3d>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lt-LT"/>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'[1]2024 m'!$C$24:$D$24</c:f>
              <c:numCache>
                <c:formatCode>General</c:formatCode>
                <c:ptCount val="2"/>
                <c:pt idx="0">
                  <c:v>2023</c:v>
                </c:pt>
                <c:pt idx="1">
                  <c:v>2024</c:v>
                </c:pt>
              </c:numCache>
            </c:numRef>
          </c:cat>
          <c:val>
            <c:numRef>
              <c:f>'[1]2024 m'!$C$26:$D$26</c:f>
              <c:numCache>
                <c:formatCode>General</c:formatCode>
                <c:ptCount val="2"/>
                <c:pt idx="0">
                  <c:v>1</c:v>
                </c:pt>
                <c:pt idx="1">
                  <c:v>0</c:v>
                </c:pt>
              </c:numCache>
            </c:numRef>
          </c:val>
          <c:extLst>
            <c:ext xmlns:c16="http://schemas.microsoft.com/office/drawing/2014/chart" uri="{C3380CC4-5D6E-409C-BE32-E72D297353CC}">
              <c16:uniqueId val="{00000001-587E-48A0-A432-8F88937920E7}"/>
            </c:ext>
          </c:extLst>
        </c:ser>
        <c:ser>
          <c:idx val="2"/>
          <c:order val="2"/>
          <c:tx>
            <c:strRef>
              <c:f>'[1]2024 m'!$B$27</c:f>
              <c:strCache>
                <c:ptCount val="1"/>
                <c:pt idx="0">
                  <c:v>Vykdant priemonę buvo pasiekta vertinimo kriterijų reikšmių 50 % ir daugiau</c:v>
                </c:pt>
              </c:strCache>
            </c:strRef>
          </c:tx>
          <c:spPr>
            <a:solidFill>
              <a:srgbClr val="FFC000"/>
            </a:solidFill>
            <a:ln>
              <a:noFill/>
            </a:ln>
            <a:effectLst/>
            <a:scene3d>
              <a:camera prst="orthographicFront"/>
              <a:lightRig rig="threePt" dir="t"/>
            </a:scene3d>
            <a:sp3d>
              <a:bevelT/>
            </a:sp3d>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lt-LT"/>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'[1]2024 m'!$C$24:$D$24</c:f>
              <c:numCache>
                <c:formatCode>General</c:formatCode>
                <c:ptCount val="2"/>
                <c:pt idx="0">
                  <c:v>2023</c:v>
                </c:pt>
                <c:pt idx="1">
                  <c:v>2024</c:v>
                </c:pt>
              </c:numCache>
            </c:numRef>
          </c:cat>
          <c:val>
            <c:numRef>
              <c:f>'[1]2024 m'!$C$27:$D$27</c:f>
              <c:numCache>
                <c:formatCode>General</c:formatCode>
                <c:ptCount val="2"/>
                <c:pt idx="0">
                  <c:v>5</c:v>
                </c:pt>
                <c:pt idx="1">
                  <c:v>3</c:v>
                </c:pt>
              </c:numCache>
            </c:numRef>
          </c:val>
          <c:extLst>
            <c:ext xmlns:c16="http://schemas.microsoft.com/office/drawing/2014/chart" uri="{C3380CC4-5D6E-409C-BE32-E72D297353CC}">
              <c16:uniqueId val="{00000002-587E-48A0-A432-8F88937920E7}"/>
            </c:ext>
          </c:extLst>
        </c:ser>
        <c:ser>
          <c:idx val="3"/>
          <c:order val="3"/>
          <c:tx>
            <c:strRef>
              <c:f>'[1]2024 m'!$B$28</c:f>
              <c:strCache>
                <c:ptCount val="1"/>
                <c:pt idx="0">
                  <c:v>Vykdant priemonę buvo pasiekta daugiau vertinimo kriterijų reikšmių nei planuota</c:v>
                </c:pt>
              </c:strCache>
            </c:strRef>
          </c:tx>
          <c:spPr>
            <a:solidFill>
              <a:schemeClr val="bg1">
                <a:lumMod val="85000"/>
              </a:schemeClr>
            </a:solidFill>
            <a:ln>
              <a:noFill/>
            </a:ln>
            <a:effectLst/>
            <a:scene3d>
              <a:camera prst="orthographicFront"/>
              <a:lightRig rig="threePt" dir="t"/>
            </a:scene3d>
            <a:sp3d>
              <a:bevelT/>
            </a:sp3d>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lt-LT"/>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'[1]2024 m'!$C$24:$D$24</c:f>
              <c:numCache>
                <c:formatCode>General</c:formatCode>
                <c:ptCount val="2"/>
                <c:pt idx="0">
                  <c:v>2023</c:v>
                </c:pt>
                <c:pt idx="1">
                  <c:v>2024</c:v>
                </c:pt>
              </c:numCache>
            </c:numRef>
          </c:cat>
          <c:val>
            <c:numRef>
              <c:f>'[1]2024 m'!$C$28:$D$28</c:f>
              <c:numCache>
                <c:formatCode>General</c:formatCode>
                <c:ptCount val="2"/>
                <c:pt idx="0">
                  <c:v>3</c:v>
                </c:pt>
                <c:pt idx="1">
                  <c:v>5</c:v>
                </c:pt>
              </c:numCache>
            </c:numRef>
          </c:val>
          <c:extLst>
            <c:ext xmlns:c16="http://schemas.microsoft.com/office/drawing/2014/chart" uri="{C3380CC4-5D6E-409C-BE32-E72D297353CC}">
              <c16:uniqueId val="{00000003-587E-48A0-A432-8F88937920E7}"/>
            </c:ext>
          </c:extLst>
        </c:ser>
        <c:ser>
          <c:idx val="4"/>
          <c:order val="4"/>
          <c:tx>
            <c:strRef>
              <c:f>'[1]2024 m'!$B$29</c:f>
              <c:strCache>
                <c:ptCount val="1"/>
                <c:pt idx="0">
                  <c:v>Priemonė neįvykdyta, t.y. nepasiekta planuota vertinimo kriterijų reikšmė</c:v>
                </c:pt>
              </c:strCache>
            </c:strRef>
          </c:tx>
          <c:spPr>
            <a:solidFill>
              <a:srgbClr val="FCE4D6"/>
            </a:solidFill>
            <a:ln>
              <a:noFill/>
            </a:ln>
            <a:effectLst/>
            <a:scene3d>
              <a:camera prst="orthographicFront"/>
              <a:lightRig rig="threePt" dir="t"/>
            </a:scene3d>
            <a:sp3d>
              <a:bevelT/>
            </a:sp3d>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lt-LT"/>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'[1]2024 m'!$C$24:$D$24</c:f>
              <c:numCache>
                <c:formatCode>General</c:formatCode>
                <c:ptCount val="2"/>
                <c:pt idx="0">
                  <c:v>2023</c:v>
                </c:pt>
                <c:pt idx="1">
                  <c:v>2024</c:v>
                </c:pt>
              </c:numCache>
            </c:numRef>
          </c:cat>
          <c:val>
            <c:numRef>
              <c:f>'[1]2024 m'!$C$29:$D$29</c:f>
              <c:numCache>
                <c:formatCode>General</c:formatCode>
                <c:ptCount val="2"/>
                <c:pt idx="0">
                  <c:v>0</c:v>
                </c:pt>
                <c:pt idx="1">
                  <c:v>0</c:v>
                </c:pt>
              </c:numCache>
            </c:numRef>
          </c:val>
          <c:extLst>
            <c:ext xmlns:c16="http://schemas.microsoft.com/office/drawing/2014/chart" uri="{C3380CC4-5D6E-409C-BE32-E72D297353CC}">
              <c16:uniqueId val="{00000004-587E-48A0-A432-8F88937920E7}"/>
            </c:ext>
          </c:extLst>
        </c:ser>
        <c:dLbls>
          <c:showLegendKey val="0"/>
          <c:showVal val="1"/>
          <c:showCatName val="0"/>
          <c:showSerName val="0"/>
          <c:showPercent val="0"/>
          <c:showBubbleSize val="0"/>
        </c:dLbls>
        <c:gapWidth val="150"/>
        <c:axId val="1495728303"/>
        <c:axId val="1495744527"/>
      </c:barChart>
      <c:lineChart>
        <c:grouping val="standard"/>
        <c:varyColors val="0"/>
        <c:ser>
          <c:idx val="5"/>
          <c:order val="5"/>
          <c:tx>
            <c:strRef>
              <c:f>'[1]2024 m'!$B$30</c:f>
              <c:strCache>
                <c:ptCount val="1"/>
                <c:pt idx="0">
                  <c:v>Iš viso programų priemonių</c:v>
                </c:pt>
              </c:strCache>
            </c:strRef>
          </c:tx>
          <c:spPr>
            <a:ln w="28575" cap="rnd">
              <a:solidFill>
                <a:srgbClr val="FFC000"/>
              </a:solidFill>
              <a:round/>
            </a:ln>
            <a:effectLst/>
          </c:spPr>
          <c:marker>
            <c:symbol val="circle"/>
            <c:size val="7"/>
            <c:spPr>
              <a:solidFill>
                <a:schemeClr val="accent6"/>
              </a:solidFill>
              <a:ln w="9525">
                <a:solidFill>
                  <a:schemeClr val="accent4"/>
                </a:solidFill>
              </a:ln>
              <a:effectLst/>
              <a:scene3d>
                <a:camera prst="orthographicFront"/>
                <a:lightRig rig="threePt" dir="t"/>
              </a:scene3d>
              <a:sp3d>
                <a:bevelT/>
              </a:sp3d>
            </c:spPr>
          </c:marker>
          <c:dLbls>
            <c:dLbl>
              <c:idx val="0"/>
              <c:layout>
                <c:manualLayout>
                  <c:x val="-4.50771674501802E-2"/>
                  <c:y val="-3.650711590246430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587E-48A0-A432-8F88937920E7}"/>
                </c:ext>
              </c:extLst>
            </c:dLbl>
            <c:dLbl>
              <c:idx val="1"/>
              <c:layout>
                <c:manualLayout>
                  <c:x val="-2.5478398993580093E-2"/>
                  <c:y val="-3.931535558726925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587E-48A0-A432-8F88937920E7}"/>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lt-LT"/>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'[1]2024 m'!$C$24:$D$24</c:f>
              <c:numCache>
                <c:formatCode>General</c:formatCode>
                <c:ptCount val="2"/>
                <c:pt idx="0">
                  <c:v>2023</c:v>
                </c:pt>
                <c:pt idx="1">
                  <c:v>2024</c:v>
                </c:pt>
              </c:numCache>
            </c:numRef>
          </c:cat>
          <c:val>
            <c:numRef>
              <c:f>'[1]2024 m'!$C$30:$D$30</c:f>
              <c:numCache>
                <c:formatCode>General</c:formatCode>
                <c:ptCount val="2"/>
                <c:pt idx="0">
                  <c:v>16</c:v>
                </c:pt>
                <c:pt idx="1">
                  <c:v>14</c:v>
                </c:pt>
              </c:numCache>
            </c:numRef>
          </c:val>
          <c:smooth val="0"/>
          <c:extLst>
            <c:ext xmlns:c16="http://schemas.microsoft.com/office/drawing/2014/chart" uri="{C3380CC4-5D6E-409C-BE32-E72D297353CC}">
              <c16:uniqueId val="{00000007-587E-48A0-A432-8F88937920E7}"/>
            </c:ext>
          </c:extLst>
        </c:ser>
        <c:dLbls>
          <c:showLegendKey val="0"/>
          <c:showVal val="1"/>
          <c:showCatName val="0"/>
          <c:showSerName val="0"/>
          <c:showPercent val="0"/>
          <c:showBubbleSize val="0"/>
        </c:dLbls>
        <c:marker val="1"/>
        <c:smooth val="0"/>
        <c:axId val="1632945087"/>
        <c:axId val="1632942591"/>
      </c:lineChart>
      <c:catAx>
        <c:axId val="1495728303"/>
        <c:scaling>
          <c:orientation val="minMax"/>
        </c:scaling>
        <c:delete val="0"/>
        <c:axPos val="b"/>
        <c:title>
          <c:tx>
            <c:rich>
              <a:bodyPr rot="0" spcFirstLastPara="1" vertOverflow="ellipsis" vert="horz" wrap="square" anchor="ctr" anchorCtr="1"/>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r>
                  <a:rPr lang="lt-LT"/>
                  <a:t>Metai</a:t>
                </a:r>
              </a:p>
            </c:rich>
          </c:tx>
          <c:layout>
            <c:manualLayout>
              <c:xMode val="edge"/>
              <c:yMode val="edge"/>
              <c:x val="0.48600648148148146"/>
              <c:y val="0.63521180555555556"/>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lt-LT"/>
            </a:p>
          </c:txPr>
        </c:title>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lt-LT"/>
          </a:p>
        </c:txPr>
        <c:crossAx val="1495744527"/>
        <c:crosses val="autoZero"/>
        <c:auto val="1"/>
        <c:lblAlgn val="ctr"/>
        <c:lblOffset val="100"/>
        <c:noMultiLvlLbl val="0"/>
      </c:catAx>
      <c:valAx>
        <c:axId val="1495744527"/>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r>
                  <a:rPr lang="lt-LT" sz="1200"/>
                  <a:t>Progamų priemonių skaičius</a:t>
                </a:r>
              </a:p>
            </c:rich>
          </c:tx>
          <c:layout>
            <c:manualLayout>
              <c:xMode val="edge"/>
              <c:yMode val="edge"/>
              <c:x val="1.0191358024691358E-2"/>
              <c:y val="0.15776712661357695"/>
            </c:manualLayout>
          </c:layout>
          <c:overlay val="0"/>
          <c:spPr>
            <a:noFill/>
            <a:ln>
              <a:noFill/>
            </a:ln>
            <a:effectLst/>
          </c:spPr>
          <c:txPr>
            <a:bodyPr rot="-5400000" spcFirstLastPara="1" vertOverflow="ellipsis" vert="horz" wrap="square" anchor="ctr" anchorCtr="1"/>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lt-LT"/>
            </a:p>
          </c:txPr>
        </c:title>
        <c:numFmt formatCode="General"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lt-LT"/>
          </a:p>
        </c:txPr>
        <c:crossAx val="1495728303"/>
        <c:crosses val="autoZero"/>
        <c:crossBetween val="between"/>
      </c:valAx>
      <c:valAx>
        <c:axId val="1632942591"/>
        <c:scaling>
          <c:orientation val="minMax"/>
        </c:scaling>
        <c:delete val="0"/>
        <c:axPos val="r"/>
        <c:title>
          <c:tx>
            <c:rich>
              <a:bodyPr rot="-5400000" spcFirstLastPara="1" vertOverflow="ellipsis" vert="horz" wrap="square" anchor="ctr" anchorCtr="1"/>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r>
                  <a:rPr lang="lt-LT"/>
                  <a:t>Programų</a:t>
                </a:r>
                <a:r>
                  <a:rPr lang="lt-LT" baseline="0"/>
                  <a:t> priemonių skaičius</a:t>
                </a:r>
                <a:endParaRPr lang="lt-LT"/>
              </a:p>
            </c:rich>
          </c:tx>
          <c:overlay val="0"/>
          <c:spPr>
            <a:noFill/>
            <a:ln>
              <a:noFill/>
            </a:ln>
            <a:effectLst/>
          </c:spPr>
          <c:txPr>
            <a:bodyPr rot="-5400000" spcFirstLastPara="1" vertOverflow="ellipsis" vert="horz" wrap="square" anchor="ctr" anchorCtr="1"/>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lt-LT"/>
            </a:p>
          </c:txPr>
        </c:title>
        <c:numFmt formatCode="General"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lt-LT"/>
          </a:p>
        </c:txPr>
        <c:crossAx val="1632945087"/>
        <c:crosses val="max"/>
        <c:crossBetween val="between"/>
      </c:valAx>
      <c:catAx>
        <c:axId val="1632945087"/>
        <c:scaling>
          <c:orientation val="minMax"/>
        </c:scaling>
        <c:delete val="1"/>
        <c:axPos val="b"/>
        <c:numFmt formatCode="General" sourceLinked="1"/>
        <c:majorTickMark val="out"/>
        <c:minorTickMark val="none"/>
        <c:tickLblPos val="nextTo"/>
        <c:crossAx val="1632942591"/>
        <c:crosses val="autoZero"/>
        <c:auto val="1"/>
        <c:lblAlgn val="ctr"/>
        <c:lblOffset val="100"/>
        <c:noMultiLvlLbl val="0"/>
      </c:catAx>
      <c:spPr>
        <a:solidFill>
          <a:schemeClr val="bg1">
            <a:lumMod val="95000"/>
          </a:schemeClr>
        </a:solidFill>
        <a:ln>
          <a:noFill/>
        </a:ln>
        <a:effectLst/>
      </c:spPr>
    </c:plotArea>
    <c:legend>
      <c:legendPos val="b"/>
      <c:layout>
        <c:manualLayout>
          <c:xMode val="edge"/>
          <c:yMode val="edge"/>
          <c:x val="4.5853402137870689E-2"/>
          <c:y val="0.69035862768623613"/>
          <c:w val="0.92355570987654323"/>
          <c:h val="0.29560017388973925"/>
        </c:manualLayout>
      </c:layout>
      <c:overlay val="0"/>
      <c:spPr>
        <a:solidFill>
          <a:schemeClr val="bg1">
            <a:lumMod val="95000"/>
          </a:schemeClr>
        </a:solidFill>
        <a:ln>
          <a:noFill/>
        </a:ln>
        <a:effectLst/>
      </c:spPr>
      <c:txPr>
        <a:bodyPr rot="0" spcFirstLastPara="1" vertOverflow="ellipsis" vert="horz" wrap="square" anchor="ctr" anchorCtr="1"/>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lt-LT"/>
        </a:p>
      </c:txPr>
    </c:legend>
    <c:plotVisOnly val="1"/>
    <c:dispBlanksAs val="gap"/>
    <c:showDLblsOverMax val="0"/>
  </c:chart>
  <c:spPr>
    <a:solidFill>
      <a:schemeClr val="bg1">
        <a:lumMod val="85000"/>
      </a:schemeClr>
    </a:solidFill>
    <a:ln w="9525" cap="flat" cmpd="sng" algn="ctr">
      <a:solidFill>
        <a:schemeClr val="tx1">
          <a:lumMod val="15000"/>
          <a:lumOff val="85000"/>
        </a:schemeClr>
      </a:solidFill>
      <a:round/>
    </a:ln>
    <a:effectLst/>
  </c:spPr>
  <c:txPr>
    <a:bodyPr/>
    <a:lstStyle/>
    <a:p>
      <a:pPr>
        <a:defRPr sz="1200">
          <a:solidFill>
            <a:schemeClr val="tx1"/>
          </a:solidFill>
          <a:latin typeface="Times New Roman" panose="02020603050405020304" pitchFamily="18" charset="0"/>
          <a:cs typeface="Times New Roman" panose="02020603050405020304" pitchFamily="18" charset="0"/>
        </a:defRPr>
      </a:pPr>
      <a:endParaRPr lang="lt-LT"/>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a:defRPr sz="1400" b="1" i="0" u="none" strike="noStrike" kern="1200" spc="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r>
              <a:rPr lang="lt-LT" b="1">
                <a:latin typeface="Times New Roman" panose="02020603050405020304" pitchFamily="18" charset="0"/>
                <a:cs typeface="Times New Roman" panose="02020603050405020304" pitchFamily="18" charset="0"/>
              </a:rPr>
              <a:t>04 programos vykdymas</a:t>
            </a:r>
            <a:endParaRPr lang="en-US" b="1">
              <a:latin typeface="Times New Roman" panose="02020603050405020304" pitchFamily="18" charset="0"/>
              <a:cs typeface="Times New Roman" panose="02020603050405020304" pitchFamily="18" charset="0"/>
            </a:endParaRPr>
          </a:p>
        </c:rich>
      </c:tx>
      <c:layout>
        <c:manualLayout>
          <c:xMode val="edge"/>
          <c:yMode val="edge"/>
          <c:x val="0.33486259871065305"/>
          <c:y val="2.2352316310111694E-2"/>
        </c:manualLayout>
      </c:layout>
      <c:overlay val="0"/>
      <c:spPr>
        <a:noFill/>
        <a:ln>
          <a:noFill/>
        </a:ln>
        <a:effectLst/>
      </c:spPr>
      <c:txPr>
        <a:bodyPr rot="0" spcFirstLastPara="1" vertOverflow="ellipsis" vert="horz" wrap="square" anchor="ctr" anchorCtr="1"/>
        <a:lstStyle/>
        <a:p>
          <a:pPr algn="ctr">
            <a:defRPr sz="1400" b="1" i="0" u="none" strike="noStrike" kern="1200" spc="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en-US"/>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tx>
            <c:v>seka</c:v>
          </c:tx>
          <c:spPr>
            <a:ln w="31750"/>
            <a:scene3d>
              <a:camera prst="orthographicFront"/>
              <a:lightRig rig="threePt" dir="t"/>
            </a:scene3d>
            <a:sp3d prstMaterial="matte">
              <a:contourClr>
                <a:srgbClr val="000000"/>
              </a:contourClr>
            </a:sp3d>
          </c:spPr>
          <c:explosion val="5"/>
          <c:dPt>
            <c:idx val="0"/>
            <c:bubble3D val="0"/>
            <c:explosion val="2"/>
            <c:spPr>
              <a:solidFill>
                <a:schemeClr val="accent3">
                  <a:lumMod val="20000"/>
                  <a:lumOff val="80000"/>
                </a:schemeClr>
              </a:solidFill>
              <a:ln w="31750">
                <a:solidFill>
                  <a:schemeClr val="accent3">
                    <a:lumMod val="20000"/>
                    <a:lumOff val="80000"/>
                  </a:schemeClr>
                </a:solidFill>
              </a:ln>
              <a:effectLst/>
              <a:scene3d>
                <a:camera prst="orthographicFront"/>
                <a:lightRig rig="threePt" dir="t"/>
              </a:scene3d>
              <a:sp3d contourW="31750" prstMaterial="matte">
                <a:contourClr>
                  <a:schemeClr val="accent3">
                    <a:lumMod val="20000"/>
                    <a:lumOff val="80000"/>
                  </a:schemeClr>
                </a:contourClr>
              </a:sp3d>
            </c:spPr>
            <c:extLst>
              <c:ext xmlns:c16="http://schemas.microsoft.com/office/drawing/2014/chart" uri="{C3380CC4-5D6E-409C-BE32-E72D297353CC}">
                <c16:uniqueId val="{00000001-A610-45D7-848A-32E5EE7DFA17}"/>
              </c:ext>
            </c:extLst>
          </c:dPt>
          <c:dPt>
            <c:idx val="1"/>
            <c:bubble3D val="0"/>
            <c:spPr>
              <a:solidFill>
                <a:srgbClr val="FFCCCC"/>
              </a:solidFill>
              <a:ln w="31750">
                <a:solidFill>
                  <a:srgbClr val="FFCCCC"/>
                </a:solidFill>
              </a:ln>
              <a:effectLst/>
              <a:scene3d>
                <a:camera prst="orthographicFront"/>
                <a:lightRig rig="threePt" dir="t"/>
              </a:scene3d>
              <a:sp3d contourW="31750" prstMaterial="matte">
                <a:contourClr>
                  <a:srgbClr val="FFCCCC"/>
                </a:contourClr>
              </a:sp3d>
            </c:spPr>
            <c:extLst>
              <c:ext xmlns:c16="http://schemas.microsoft.com/office/drawing/2014/chart" uri="{C3380CC4-5D6E-409C-BE32-E72D297353CC}">
                <c16:uniqueId val="{00000003-A610-45D7-848A-32E5EE7DFA17}"/>
              </c:ext>
            </c:extLst>
          </c:dPt>
          <c:dPt>
            <c:idx val="2"/>
            <c:bubble3D val="0"/>
            <c:spPr>
              <a:solidFill>
                <a:srgbClr val="FFC000"/>
              </a:solidFill>
              <a:ln w="31750">
                <a:solidFill>
                  <a:srgbClr val="FFC000"/>
                </a:solidFill>
              </a:ln>
              <a:effectLst/>
              <a:scene3d>
                <a:camera prst="orthographicFront"/>
                <a:lightRig rig="threePt" dir="t"/>
              </a:scene3d>
              <a:sp3d contourW="31750" prstMaterial="matte">
                <a:contourClr>
                  <a:srgbClr val="FFC000"/>
                </a:contourClr>
              </a:sp3d>
            </c:spPr>
            <c:extLst>
              <c:ext xmlns:c16="http://schemas.microsoft.com/office/drawing/2014/chart" uri="{C3380CC4-5D6E-409C-BE32-E72D297353CC}">
                <c16:uniqueId val="{00000005-A610-45D7-848A-32E5EE7DFA17}"/>
              </c:ext>
            </c:extLst>
          </c:dPt>
          <c:dPt>
            <c:idx val="3"/>
            <c:bubble3D val="0"/>
            <c:spPr>
              <a:solidFill>
                <a:schemeClr val="bg1">
                  <a:lumMod val="85000"/>
                </a:schemeClr>
              </a:solidFill>
              <a:ln w="31750">
                <a:solidFill>
                  <a:schemeClr val="bg1">
                    <a:lumMod val="85000"/>
                  </a:schemeClr>
                </a:solidFill>
              </a:ln>
              <a:effectLst/>
              <a:scene3d>
                <a:camera prst="orthographicFront"/>
                <a:lightRig rig="threePt" dir="t"/>
              </a:scene3d>
              <a:sp3d contourW="31750" prstMaterial="matte">
                <a:contourClr>
                  <a:schemeClr val="bg1">
                    <a:lumMod val="85000"/>
                  </a:schemeClr>
                </a:contourClr>
              </a:sp3d>
            </c:spPr>
            <c:extLst>
              <c:ext xmlns:c16="http://schemas.microsoft.com/office/drawing/2014/chart" uri="{C3380CC4-5D6E-409C-BE32-E72D297353CC}">
                <c16:uniqueId val="{00000007-A610-45D7-848A-32E5EE7DFA17}"/>
              </c:ext>
            </c:extLst>
          </c:dPt>
          <c:dPt>
            <c:idx val="4"/>
            <c:bubble3D val="0"/>
            <c:spPr>
              <a:solidFill>
                <a:schemeClr val="accent6">
                  <a:lumMod val="20000"/>
                  <a:lumOff val="80000"/>
                </a:schemeClr>
              </a:solidFill>
              <a:ln w="31750">
                <a:solidFill>
                  <a:schemeClr val="accent6">
                    <a:lumMod val="20000"/>
                    <a:lumOff val="80000"/>
                  </a:schemeClr>
                </a:solidFill>
              </a:ln>
              <a:effectLst/>
              <a:scene3d>
                <a:camera prst="orthographicFront"/>
                <a:lightRig rig="threePt" dir="t"/>
              </a:scene3d>
              <a:sp3d contourW="31750" prstMaterial="matte">
                <a:contourClr>
                  <a:schemeClr val="accent6">
                    <a:lumMod val="20000"/>
                    <a:lumOff val="80000"/>
                  </a:schemeClr>
                </a:contourClr>
              </a:sp3d>
            </c:spPr>
            <c:extLst>
              <c:ext xmlns:c16="http://schemas.microsoft.com/office/drawing/2014/chart" uri="{C3380CC4-5D6E-409C-BE32-E72D297353CC}">
                <c16:uniqueId val="{00000009-A610-45D7-848A-32E5EE7DFA17}"/>
              </c:ext>
            </c:extLst>
          </c:dPt>
          <c:dLbls>
            <c:spPr>
              <a:noFill/>
              <a:ln>
                <a:noFill/>
              </a:ln>
              <a:effectLst/>
            </c:spPr>
            <c:txPr>
              <a:bodyPr rot="0" spcFirstLastPara="1" vertOverflow="ellipsis" vert="horz" wrap="square" lIns="38100" tIns="19050" rIns="38100" bIns="19050" anchor="ctr" anchorCtr="0">
                <a:spAutoFit/>
              </a:bodyPr>
              <a:lstStyle/>
              <a:p>
                <a:pPr>
                  <a:defRPr sz="1200" b="0" i="0" u="none" strike="noStrike" kern="1200" baseline="0">
                    <a:solidFill>
                      <a:schemeClr val="tx1">
                        <a:lumMod val="75000"/>
                        <a:lumOff val="25000"/>
                      </a:schemeClr>
                    </a:solidFill>
                    <a:latin typeface="+mn-lt"/>
                    <a:ea typeface="+mn-ea"/>
                    <a:cs typeface="+mn-cs"/>
                  </a:defRPr>
                </a:pPr>
                <a:endParaRPr lang="lt-LT"/>
              </a:p>
            </c:txPr>
            <c:dLblPos val="inEnd"/>
            <c:showLegendKey val="0"/>
            <c:showVal val="1"/>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Planas!$V$175:$V$179</c:f>
              <c:strCache>
                <c:ptCount val="5"/>
                <c:pt idx="0">
                  <c:v>Priemonė buvo įvykdyta pagal planą</c:v>
                </c:pt>
                <c:pt idx="1">
                  <c:v>Vykdant priemonę buvo pasiekta vertinimo kriterijų reikšmių mažiau nei 50 %</c:v>
                </c:pt>
                <c:pt idx="2">
                  <c:v>Vykdant priemonę buvo pasiekta vertinimo kriterijų reikšmių 50 % ir daugiau</c:v>
                </c:pt>
                <c:pt idx="3">
                  <c:v>Vykdant priemonę buvo pasiekta daugiau vertinimo kriterijų reikšmių nei planuota</c:v>
                </c:pt>
                <c:pt idx="4">
                  <c:v>Priemonė neįvykdyta, t.y. nepasiekta planuota vertinimo kriterijų reikšmė</c:v>
                </c:pt>
              </c:strCache>
            </c:strRef>
          </c:cat>
          <c:val>
            <c:numRef>
              <c:f>Planas!$W$175:$W$179</c:f>
              <c:numCache>
                <c:formatCode>General</c:formatCode>
                <c:ptCount val="5"/>
                <c:pt idx="0">
                  <c:v>7</c:v>
                </c:pt>
                <c:pt idx="2">
                  <c:v>5</c:v>
                </c:pt>
                <c:pt idx="3">
                  <c:v>6</c:v>
                </c:pt>
                <c:pt idx="4">
                  <c:v>4</c:v>
                </c:pt>
              </c:numCache>
            </c:numRef>
          </c:val>
          <c:extLst>
            <c:ext xmlns:c16="http://schemas.microsoft.com/office/drawing/2014/chart" uri="{C3380CC4-5D6E-409C-BE32-E72D297353CC}">
              <c16:uniqueId val="{0000000A-A610-45D7-848A-32E5EE7DFA17}"/>
            </c:ext>
          </c:extLst>
        </c:ser>
        <c:dLbls>
          <c:dLblPos val="bestFit"/>
          <c:showLegendKey val="0"/>
          <c:showVal val="1"/>
          <c:showCatName val="0"/>
          <c:showSerName val="0"/>
          <c:showPercent val="0"/>
          <c:showBubbleSize val="0"/>
          <c:showLeaderLines val="1"/>
        </c:dLbls>
      </c:pie3DChart>
      <c:spPr>
        <a:solidFill>
          <a:schemeClr val="bg1">
            <a:lumMod val="95000"/>
          </a:schemeClr>
        </a:solidFill>
        <a:ln>
          <a:noFill/>
        </a:ln>
        <a:effectLst/>
      </c:spPr>
    </c:plotArea>
    <c:legend>
      <c:legendPos val="b"/>
      <c:layout>
        <c:manualLayout>
          <c:xMode val="edge"/>
          <c:yMode val="edge"/>
          <c:x val="2.256379873216996E-2"/>
          <c:y val="0.75093203096705152"/>
          <c:w val="0.95487225100822581"/>
          <c:h val="0.23416642482620731"/>
        </c:manualLayout>
      </c:layout>
      <c:overlay val="0"/>
      <c:spPr>
        <a:solidFill>
          <a:schemeClr val="bg1">
            <a:lumMod val="95000"/>
          </a:schemeClr>
        </a:solidFill>
        <a:ln>
          <a:gradFill flip="none" rotWithShape="1">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tileRect/>
          </a:gradFill>
        </a:ln>
        <a:effectLst/>
      </c:spPr>
      <c:txPr>
        <a:bodyPr rot="0" spcFirstLastPara="1" vertOverflow="ellipsis" vert="horz" wrap="square" anchor="ctr" anchorCtr="1"/>
        <a:lstStyle/>
        <a:p>
          <a:pPr>
            <a:defRPr sz="1200" b="0" i="0" u="none" strike="noStrike" kern="1200" baseline="0">
              <a:ln>
                <a:noFill/>
              </a:ln>
              <a:solidFill>
                <a:schemeClr val="tx1"/>
              </a:solidFill>
              <a:latin typeface="Times New Roman" panose="02020603050405020304" pitchFamily="18" charset="0"/>
              <a:ea typeface="+mn-ea"/>
              <a:cs typeface="Times New Roman" panose="02020603050405020304" pitchFamily="18" charset="0"/>
            </a:defRPr>
          </a:pPr>
          <a:endParaRPr lang="lt-LT"/>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lumMod val="85000"/>
      </a:schemeClr>
    </a:solidFill>
    <a:ln w="9525" cap="flat" cmpd="sng" algn="ctr">
      <a:solidFill>
        <a:schemeClr val="tx1">
          <a:lumMod val="15000"/>
          <a:lumOff val="85000"/>
        </a:schemeClr>
      </a:solidFill>
      <a:round/>
    </a:ln>
    <a:effectLst>
      <a:softEdge rad="0"/>
    </a:effectLst>
  </c:spPr>
  <c:txPr>
    <a:bodyPr/>
    <a:lstStyle/>
    <a:p>
      <a:pPr>
        <a:defRPr/>
      </a:pPr>
      <a:endParaRPr lang="lt-LT"/>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1" i="0" u="none" strike="noStrike" kern="1200" spc="0" baseline="0">
                <a:solidFill>
                  <a:schemeClr val="tx1"/>
                </a:solidFill>
                <a:latin typeface="Times New Roman" panose="02020603050405020304" pitchFamily="18" charset="0"/>
                <a:ea typeface="+mn-ea"/>
                <a:cs typeface="Times New Roman" panose="02020603050405020304" pitchFamily="18" charset="0"/>
              </a:defRPr>
            </a:pPr>
            <a:r>
              <a:rPr lang="lt-LT" b="1"/>
              <a:t>2024 m. 04 programos vykdymo palyginimas su 2023 m.</a:t>
            </a:r>
          </a:p>
        </c:rich>
      </c:tx>
      <c:overlay val="0"/>
      <c:spPr>
        <a:noFill/>
        <a:ln>
          <a:noFill/>
        </a:ln>
        <a:effectLst/>
      </c:spPr>
      <c:txPr>
        <a:bodyPr rot="0" spcFirstLastPara="1" vertOverflow="ellipsis" vert="horz" wrap="square" anchor="ctr" anchorCtr="1"/>
        <a:lstStyle/>
        <a:p>
          <a:pPr>
            <a:defRPr sz="1440" b="1" i="0" u="none" strike="noStrike" kern="1200" spc="0" baseline="0">
              <a:solidFill>
                <a:schemeClr val="tx1"/>
              </a:solidFill>
              <a:latin typeface="Times New Roman" panose="02020603050405020304" pitchFamily="18" charset="0"/>
              <a:ea typeface="+mn-ea"/>
              <a:cs typeface="Times New Roman" panose="02020603050405020304" pitchFamily="18" charset="0"/>
            </a:defRPr>
          </a:pPr>
          <a:endParaRPr lang="lt-LT"/>
        </a:p>
      </c:txPr>
    </c:title>
    <c:autoTitleDeleted val="0"/>
    <c:plotArea>
      <c:layout>
        <c:manualLayout>
          <c:layoutTarget val="inner"/>
          <c:xMode val="edge"/>
          <c:yMode val="edge"/>
          <c:x val="9.2114197530864195E-2"/>
          <c:y val="0.10936134259259259"/>
          <c:w val="0.81829984567901248"/>
          <c:h val="0.48786805555555546"/>
        </c:manualLayout>
      </c:layout>
      <c:barChart>
        <c:barDir val="col"/>
        <c:grouping val="clustered"/>
        <c:varyColors val="0"/>
        <c:ser>
          <c:idx val="0"/>
          <c:order val="0"/>
          <c:tx>
            <c:strRef>
              <c:f>'[1]2024 m'!$B$36</c:f>
              <c:strCache>
                <c:ptCount val="1"/>
                <c:pt idx="0">
                  <c:v>Priemonė buvo įvykdyta pagal planą</c:v>
                </c:pt>
              </c:strCache>
            </c:strRef>
          </c:tx>
          <c:spPr>
            <a:solidFill>
              <a:srgbClr val="E2EFDA"/>
            </a:solidFill>
            <a:ln>
              <a:noFill/>
            </a:ln>
            <a:effectLst/>
            <a:scene3d>
              <a:camera prst="orthographicFront"/>
              <a:lightRig rig="threePt" dir="t"/>
            </a:scene3d>
            <a:sp3d>
              <a:bevelT/>
            </a:sp3d>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lt-LT"/>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'[1]2024 m'!$C$35:$D$35</c:f>
              <c:numCache>
                <c:formatCode>General</c:formatCode>
                <c:ptCount val="2"/>
                <c:pt idx="0">
                  <c:v>2023</c:v>
                </c:pt>
                <c:pt idx="1">
                  <c:v>2024</c:v>
                </c:pt>
              </c:numCache>
            </c:numRef>
          </c:cat>
          <c:val>
            <c:numRef>
              <c:f>'[1]2024 m'!$C$36:$D$36</c:f>
              <c:numCache>
                <c:formatCode>General</c:formatCode>
                <c:ptCount val="2"/>
                <c:pt idx="0">
                  <c:v>5</c:v>
                </c:pt>
                <c:pt idx="1">
                  <c:v>7</c:v>
                </c:pt>
              </c:numCache>
            </c:numRef>
          </c:val>
          <c:extLst>
            <c:ext xmlns:c16="http://schemas.microsoft.com/office/drawing/2014/chart" uri="{C3380CC4-5D6E-409C-BE32-E72D297353CC}">
              <c16:uniqueId val="{00000000-D5F2-46D8-95B5-F84B64723088}"/>
            </c:ext>
          </c:extLst>
        </c:ser>
        <c:ser>
          <c:idx val="1"/>
          <c:order val="1"/>
          <c:tx>
            <c:strRef>
              <c:f>'[1]2024 m'!$B$37</c:f>
              <c:strCache>
                <c:ptCount val="1"/>
                <c:pt idx="0">
                  <c:v>Vykdant priemonę buvo pasiekta vertinimo kriterijų reikšmių mažiau nei 50 %</c:v>
                </c:pt>
              </c:strCache>
            </c:strRef>
          </c:tx>
          <c:spPr>
            <a:solidFill>
              <a:srgbClr val="FFCCCC"/>
            </a:solidFill>
            <a:ln>
              <a:noFill/>
            </a:ln>
            <a:effectLst/>
            <a:scene3d>
              <a:camera prst="orthographicFront"/>
              <a:lightRig rig="threePt" dir="t"/>
            </a:scene3d>
            <a:sp3d>
              <a:bevelT/>
            </a:sp3d>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lt-LT"/>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'[1]2024 m'!$C$35:$D$35</c:f>
              <c:numCache>
                <c:formatCode>General</c:formatCode>
                <c:ptCount val="2"/>
                <c:pt idx="0">
                  <c:v>2023</c:v>
                </c:pt>
                <c:pt idx="1">
                  <c:v>2024</c:v>
                </c:pt>
              </c:numCache>
            </c:numRef>
          </c:cat>
          <c:val>
            <c:numRef>
              <c:f>'[1]2024 m'!$C$37:$D$37</c:f>
              <c:numCache>
                <c:formatCode>General</c:formatCode>
                <c:ptCount val="2"/>
                <c:pt idx="0">
                  <c:v>0</c:v>
                </c:pt>
                <c:pt idx="1">
                  <c:v>0</c:v>
                </c:pt>
              </c:numCache>
            </c:numRef>
          </c:val>
          <c:extLst>
            <c:ext xmlns:c16="http://schemas.microsoft.com/office/drawing/2014/chart" uri="{C3380CC4-5D6E-409C-BE32-E72D297353CC}">
              <c16:uniqueId val="{00000001-D5F2-46D8-95B5-F84B64723088}"/>
            </c:ext>
          </c:extLst>
        </c:ser>
        <c:ser>
          <c:idx val="2"/>
          <c:order val="2"/>
          <c:tx>
            <c:strRef>
              <c:f>'[1]2024 m'!$B$38</c:f>
              <c:strCache>
                <c:ptCount val="1"/>
                <c:pt idx="0">
                  <c:v>Vykdant priemonę buvo pasiekta vertinimo kriterijų reikšmių 50 % ir daugiau</c:v>
                </c:pt>
              </c:strCache>
            </c:strRef>
          </c:tx>
          <c:spPr>
            <a:solidFill>
              <a:srgbClr val="FFC000"/>
            </a:solidFill>
            <a:ln>
              <a:noFill/>
            </a:ln>
            <a:effectLst/>
            <a:scene3d>
              <a:camera prst="orthographicFront"/>
              <a:lightRig rig="threePt" dir="t"/>
            </a:scene3d>
            <a:sp3d>
              <a:bevelT/>
            </a:sp3d>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lt-LT"/>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'[1]2024 m'!$C$35:$D$35</c:f>
              <c:numCache>
                <c:formatCode>General</c:formatCode>
                <c:ptCount val="2"/>
                <c:pt idx="0">
                  <c:v>2023</c:v>
                </c:pt>
                <c:pt idx="1">
                  <c:v>2024</c:v>
                </c:pt>
              </c:numCache>
            </c:numRef>
          </c:cat>
          <c:val>
            <c:numRef>
              <c:f>'[1]2024 m'!$C$38:$D$38</c:f>
              <c:numCache>
                <c:formatCode>General</c:formatCode>
                <c:ptCount val="2"/>
                <c:pt idx="0">
                  <c:v>6</c:v>
                </c:pt>
                <c:pt idx="1">
                  <c:v>5</c:v>
                </c:pt>
              </c:numCache>
            </c:numRef>
          </c:val>
          <c:extLst>
            <c:ext xmlns:c16="http://schemas.microsoft.com/office/drawing/2014/chart" uri="{C3380CC4-5D6E-409C-BE32-E72D297353CC}">
              <c16:uniqueId val="{00000002-D5F2-46D8-95B5-F84B64723088}"/>
            </c:ext>
          </c:extLst>
        </c:ser>
        <c:ser>
          <c:idx val="3"/>
          <c:order val="3"/>
          <c:tx>
            <c:strRef>
              <c:f>'[1]2024 m'!$B$39</c:f>
              <c:strCache>
                <c:ptCount val="1"/>
                <c:pt idx="0">
                  <c:v>Vykdant priemonę buvo pasiekta daugiau vertinimo kriterijų reikšmių nei planuota</c:v>
                </c:pt>
              </c:strCache>
            </c:strRef>
          </c:tx>
          <c:spPr>
            <a:solidFill>
              <a:schemeClr val="bg1">
                <a:lumMod val="85000"/>
              </a:schemeClr>
            </a:solidFill>
            <a:ln>
              <a:solidFill>
                <a:schemeClr val="bg1">
                  <a:lumMod val="85000"/>
                </a:schemeClr>
              </a:solidFill>
            </a:ln>
            <a:effectLst/>
            <a:scene3d>
              <a:camera prst="orthographicFront"/>
              <a:lightRig rig="threePt" dir="t"/>
            </a:scene3d>
            <a:sp3d>
              <a:bevelT/>
            </a:sp3d>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lt-LT"/>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'[1]2024 m'!$C$35:$D$35</c:f>
              <c:numCache>
                <c:formatCode>General</c:formatCode>
                <c:ptCount val="2"/>
                <c:pt idx="0">
                  <c:v>2023</c:v>
                </c:pt>
                <c:pt idx="1">
                  <c:v>2024</c:v>
                </c:pt>
              </c:numCache>
            </c:numRef>
          </c:cat>
          <c:val>
            <c:numRef>
              <c:f>'[1]2024 m'!$C$39:$D$39</c:f>
              <c:numCache>
                <c:formatCode>General</c:formatCode>
                <c:ptCount val="2"/>
                <c:pt idx="0">
                  <c:v>2</c:v>
                </c:pt>
                <c:pt idx="1">
                  <c:v>6</c:v>
                </c:pt>
              </c:numCache>
            </c:numRef>
          </c:val>
          <c:extLst>
            <c:ext xmlns:c16="http://schemas.microsoft.com/office/drawing/2014/chart" uri="{C3380CC4-5D6E-409C-BE32-E72D297353CC}">
              <c16:uniqueId val="{00000003-D5F2-46D8-95B5-F84B64723088}"/>
            </c:ext>
          </c:extLst>
        </c:ser>
        <c:ser>
          <c:idx val="4"/>
          <c:order val="4"/>
          <c:tx>
            <c:strRef>
              <c:f>'[1]2024 m'!$B$40</c:f>
              <c:strCache>
                <c:ptCount val="1"/>
                <c:pt idx="0">
                  <c:v>Priemonė neįvykdyta, t.y. nepasiekta planuota vertinimo kriterijų reikšmė</c:v>
                </c:pt>
              </c:strCache>
            </c:strRef>
          </c:tx>
          <c:spPr>
            <a:solidFill>
              <a:srgbClr val="FCE4D6"/>
            </a:solidFill>
            <a:ln>
              <a:noFill/>
            </a:ln>
            <a:effectLst/>
            <a:scene3d>
              <a:camera prst="orthographicFront"/>
              <a:lightRig rig="threePt" dir="t"/>
            </a:scene3d>
            <a:sp3d>
              <a:bevelT/>
            </a:sp3d>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lt-LT"/>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'[1]2024 m'!$C$35:$D$35</c:f>
              <c:numCache>
                <c:formatCode>General</c:formatCode>
                <c:ptCount val="2"/>
                <c:pt idx="0">
                  <c:v>2023</c:v>
                </c:pt>
                <c:pt idx="1">
                  <c:v>2024</c:v>
                </c:pt>
              </c:numCache>
            </c:numRef>
          </c:cat>
          <c:val>
            <c:numRef>
              <c:f>'[1]2024 m'!$C$40:$D$40</c:f>
              <c:numCache>
                <c:formatCode>General</c:formatCode>
                <c:ptCount val="2"/>
                <c:pt idx="0">
                  <c:v>7</c:v>
                </c:pt>
                <c:pt idx="1">
                  <c:v>4</c:v>
                </c:pt>
              </c:numCache>
            </c:numRef>
          </c:val>
          <c:extLst>
            <c:ext xmlns:c16="http://schemas.microsoft.com/office/drawing/2014/chart" uri="{C3380CC4-5D6E-409C-BE32-E72D297353CC}">
              <c16:uniqueId val="{00000004-D5F2-46D8-95B5-F84B64723088}"/>
            </c:ext>
          </c:extLst>
        </c:ser>
        <c:dLbls>
          <c:showLegendKey val="0"/>
          <c:showVal val="1"/>
          <c:showCatName val="0"/>
          <c:showSerName val="0"/>
          <c:showPercent val="0"/>
          <c:showBubbleSize val="0"/>
        </c:dLbls>
        <c:gapWidth val="150"/>
        <c:axId val="1495728303"/>
        <c:axId val="1495744527"/>
      </c:barChart>
      <c:lineChart>
        <c:grouping val="standard"/>
        <c:varyColors val="0"/>
        <c:ser>
          <c:idx val="5"/>
          <c:order val="5"/>
          <c:tx>
            <c:strRef>
              <c:f>'[1]2024 m'!$B$41</c:f>
              <c:strCache>
                <c:ptCount val="1"/>
                <c:pt idx="0">
                  <c:v>Iš viso programų priemonių</c:v>
                </c:pt>
              </c:strCache>
            </c:strRef>
          </c:tx>
          <c:spPr>
            <a:ln w="28575" cap="sq">
              <a:solidFill>
                <a:srgbClr val="FFC000"/>
              </a:solidFill>
              <a:round/>
            </a:ln>
            <a:effectLst/>
          </c:spPr>
          <c:marker>
            <c:symbol val="circle"/>
            <c:size val="7"/>
            <c:spPr>
              <a:solidFill>
                <a:srgbClr val="FFC000"/>
              </a:solidFill>
              <a:ln w="9525">
                <a:solidFill>
                  <a:schemeClr val="accent4"/>
                </a:solidFill>
              </a:ln>
              <a:effectLst/>
              <a:scene3d>
                <a:camera prst="orthographicFront"/>
                <a:lightRig rig="threePt" dir="t"/>
              </a:scene3d>
              <a:sp3d>
                <a:bevelT/>
              </a:sp3d>
            </c:spPr>
          </c:marker>
          <c:dLbls>
            <c:dLbl>
              <c:idx val="0"/>
              <c:layout>
                <c:manualLayout>
                  <c:x val="-2.939815268490014E-2"/>
                  <c:y val="-5.054831432648904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D5F2-46D8-95B5-F84B64723088}"/>
                </c:ext>
              </c:extLst>
            </c:dLbl>
            <c:dLbl>
              <c:idx val="1"/>
              <c:layout>
                <c:manualLayout>
                  <c:x val="-2.9398152684900106E-2"/>
                  <c:y val="-4.774007464168409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D5F2-46D8-95B5-F84B64723088}"/>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lt-LT"/>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'[1]2024 m'!$C$35:$D$35</c:f>
              <c:numCache>
                <c:formatCode>General</c:formatCode>
                <c:ptCount val="2"/>
                <c:pt idx="0">
                  <c:v>2023</c:v>
                </c:pt>
                <c:pt idx="1">
                  <c:v>2024</c:v>
                </c:pt>
              </c:numCache>
            </c:numRef>
          </c:cat>
          <c:val>
            <c:numRef>
              <c:f>'[1]2024 m'!$C$41:$D$41</c:f>
              <c:numCache>
                <c:formatCode>General</c:formatCode>
                <c:ptCount val="2"/>
                <c:pt idx="0">
                  <c:v>20</c:v>
                </c:pt>
                <c:pt idx="1">
                  <c:v>22</c:v>
                </c:pt>
              </c:numCache>
            </c:numRef>
          </c:val>
          <c:smooth val="0"/>
          <c:extLst>
            <c:ext xmlns:c16="http://schemas.microsoft.com/office/drawing/2014/chart" uri="{C3380CC4-5D6E-409C-BE32-E72D297353CC}">
              <c16:uniqueId val="{00000007-D5F2-46D8-95B5-F84B64723088}"/>
            </c:ext>
          </c:extLst>
        </c:ser>
        <c:dLbls>
          <c:showLegendKey val="0"/>
          <c:showVal val="1"/>
          <c:showCatName val="0"/>
          <c:showSerName val="0"/>
          <c:showPercent val="0"/>
          <c:showBubbleSize val="0"/>
        </c:dLbls>
        <c:marker val="1"/>
        <c:smooth val="0"/>
        <c:axId val="1632945087"/>
        <c:axId val="1632942591"/>
      </c:lineChart>
      <c:catAx>
        <c:axId val="1495728303"/>
        <c:scaling>
          <c:orientation val="minMax"/>
        </c:scaling>
        <c:delete val="0"/>
        <c:axPos val="b"/>
        <c:title>
          <c:tx>
            <c:rich>
              <a:bodyPr rot="0" spcFirstLastPara="1" vertOverflow="ellipsis" vert="horz" wrap="square" anchor="ctr" anchorCtr="1"/>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r>
                  <a:rPr lang="lt-LT"/>
                  <a:t>Metai</a:t>
                </a:r>
              </a:p>
            </c:rich>
          </c:tx>
          <c:layout>
            <c:manualLayout>
              <c:xMode val="edge"/>
              <c:yMode val="edge"/>
              <c:x val="0.48600648148148146"/>
              <c:y val="0.63521180555555556"/>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lt-LT"/>
            </a:p>
          </c:txPr>
        </c:title>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lt-LT"/>
          </a:p>
        </c:txPr>
        <c:crossAx val="1495744527"/>
        <c:crosses val="autoZero"/>
        <c:auto val="1"/>
        <c:lblAlgn val="ctr"/>
        <c:lblOffset val="100"/>
        <c:noMultiLvlLbl val="0"/>
      </c:catAx>
      <c:valAx>
        <c:axId val="1495744527"/>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r>
                  <a:rPr lang="lt-LT" sz="1200"/>
                  <a:t>Progamų priemonių skaičius</a:t>
                </a:r>
              </a:p>
            </c:rich>
          </c:tx>
          <c:layout>
            <c:manualLayout>
              <c:xMode val="edge"/>
              <c:yMode val="edge"/>
              <c:x val="1.0191358024691358E-2"/>
              <c:y val="0.15776712661357695"/>
            </c:manualLayout>
          </c:layout>
          <c:overlay val="0"/>
          <c:spPr>
            <a:noFill/>
            <a:ln>
              <a:noFill/>
            </a:ln>
            <a:effectLst/>
          </c:spPr>
          <c:txPr>
            <a:bodyPr rot="-5400000" spcFirstLastPara="1" vertOverflow="ellipsis" vert="horz" wrap="square" anchor="ctr" anchorCtr="1"/>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lt-LT"/>
            </a:p>
          </c:txPr>
        </c:title>
        <c:numFmt formatCode="General"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lt-LT"/>
          </a:p>
        </c:txPr>
        <c:crossAx val="1495728303"/>
        <c:crosses val="autoZero"/>
        <c:crossBetween val="between"/>
      </c:valAx>
      <c:valAx>
        <c:axId val="1632942591"/>
        <c:scaling>
          <c:orientation val="minMax"/>
        </c:scaling>
        <c:delete val="0"/>
        <c:axPos val="r"/>
        <c:title>
          <c:tx>
            <c:rich>
              <a:bodyPr rot="-5400000" spcFirstLastPara="1" vertOverflow="ellipsis" vert="horz" wrap="square" anchor="ctr" anchorCtr="1"/>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r>
                  <a:rPr lang="lt-LT"/>
                  <a:t>Programų</a:t>
                </a:r>
                <a:r>
                  <a:rPr lang="lt-LT" baseline="0"/>
                  <a:t> priemonių skaičius</a:t>
                </a:r>
                <a:endParaRPr lang="lt-LT"/>
              </a:p>
            </c:rich>
          </c:tx>
          <c:overlay val="0"/>
          <c:spPr>
            <a:noFill/>
            <a:ln>
              <a:noFill/>
            </a:ln>
            <a:effectLst/>
          </c:spPr>
          <c:txPr>
            <a:bodyPr rot="-5400000" spcFirstLastPara="1" vertOverflow="ellipsis" vert="horz" wrap="square" anchor="ctr" anchorCtr="1"/>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lt-LT"/>
            </a:p>
          </c:txPr>
        </c:title>
        <c:numFmt formatCode="General"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lt-LT"/>
          </a:p>
        </c:txPr>
        <c:crossAx val="1632945087"/>
        <c:crosses val="max"/>
        <c:crossBetween val="between"/>
      </c:valAx>
      <c:catAx>
        <c:axId val="1632945087"/>
        <c:scaling>
          <c:orientation val="minMax"/>
        </c:scaling>
        <c:delete val="1"/>
        <c:axPos val="b"/>
        <c:numFmt formatCode="General" sourceLinked="1"/>
        <c:majorTickMark val="out"/>
        <c:minorTickMark val="none"/>
        <c:tickLblPos val="nextTo"/>
        <c:crossAx val="1632942591"/>
        <c:crosses val="autoZero"/>
        <c:auto val="1"/>
        <c:lblAlgn val="ctr"/>
        <c:lblOffset val="100"/>
        <c:noMultiLvlLbl val="0"/>
      </c:catAx>
      <c:spPr>
        <a:solidFill>
          <a:schemeClr val="bg1">
            <a:lumMod val="95000"/>
          </a:schemeClr>
        </a:solidFill>
        <a:ln>
          <a:noFill/>
        </a:ln>
        <a:effectLst/>
      </c:spPr>
    </c:plotArea>
    <c:legend>
      <c:legendPos val="b"/>
      <c:layout>
        <c:manualLayout>
          <c:xMode val="edge"/>
          <c:yMode val="edge"/>
          <c:x val="4.7813278983530709E-2"/>
          <c:y val="0.69316686737104105"/>
          <c:w val="0.92355570987654323"/>
          <c:h val="0.29560017388973925"/>
        </c:manualLayout>
      </c:layout>
      <c:overlay val="0"/>
      <c:spPr>
        <a:solidFill>
          <a:schemeClr val="bg1">
            <a:lumMod val="95000"/>
          </a:schemeClr>
        </a:solidFill>
        <a:ln>
          <a:noFill/>
        </a:ln>
        <a:effectLst/>
      </c:spPr>
      <c:txPr>
        <a:bodyPr rot="0" spcFirstLastPara="1" vertOverflow="ellipsis" vert="horz" wrap="square" anchor="ctr" anchorCtr="1"/>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lt-LT"/>
        </a:p>
      </c:txPr>
    </c:legend>
    <c:plotVisOnly val="1"/>
    <c:dispBlanksAs val="gap"/>
    <c:showDLblsOverMax val="0"/>
  </c:chart>
  <c:spPr>
    <a:solidFill>
      <a:schemeClr val="bg1">
        <a:lumMod val="85000"/>
      </a:schemeClr>
    </a:solidFill>
    <a:ln w="9525" cap="flat" cmpd="sng" algn="ctr">
      <a:solidFill>
        <a:schemeClr val="tx1">
          <a:lumMod val="15000"/>
          <a:lumOff val="85000"/>
        </a:schemeClr>
      </a:solidFill>
      <a:round/>
    </a:ln>
    <a:effectLst/>
  </c:spPr>
  <c:txPr>
    <a:bodyPr/>
    <a:lstStyle/>
    <a:p>
      <a:pPr>
        <a:defRPr sz="1200">
          <a:solidFill>
            <a:schemeClr val="tx1"/>
          </a:solidFill>
          <a:latin typeface="Times New Roman" panose="02020603050405020304" pitchFamily="18" charset="0"/>
          <a:cs typeface="Times New Roman" panose="02020603050405020304" pitchFamily="18" charset="0"/>
        </a:defRPr>
      </a:pPr>
      <a:endParaRPr lang="lt-LT"/>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a:defRPr sz="1400" b="1" i="0" u="none" strike="noStrike" kern="1200" spc="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r>
              <a:rPr lang="lt-LT" b="1">
                <a:latin typeface="Times New Roman" panose="02020603050405020304" pitchFamily="18" charset="0"/>
                <a:cs typeface="Times New Roman" panose="02020603050405020304" pitchFamily="18" charset="0"/>
              </a:rPr>
              <a:t>05 programos vykdymas</a:t>
            </a:r>
            <a:endParaRPr lang="en-US" b="1">
              <a:latin typeface="Times New Roman" panose="02020603050405020304" pitchFamily="18" charset="0"/>
              <a:cs typeface="Times New Roman" panose="02020603050405020304" pitchFamily="18" charset="0"/>
            </a:endParaRPr>
          </a:p>
        </c:rich>
      </c:tx>
      <c:layout>
        <c:manualLayout>
          <c:xMode val="edge"/>
          <c:yMode val="edge"/>
          <c:x val="0.33486259871065305"/>
          <c:y val="2.2352316310111694E-2"/>
        </c:manualLayout>
      </c:layout>
      <c:overlay val="0"/>
      <c:spPr>
        <a:noFill/>
        <a:ln>
          <a:noFill/>
        </a:ln>
        <a:effectLst/>
      </c:spPr>
      <c:txPr>
        <a:bodyPr rot="0" spcFirstLastPara="1" vertOverflow="ellipsis" vert="horz" wrap="square" anchor="ctr" anchorCtr="1"/>
        <a:lstStyle/>
        <a:p>
          <a:pPr algn="ctr">
            <a:defRPr sz="1400" b="1" i="0" u="none" strike="noStrike" kern="1200" spc="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en-US"/>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spPr>
            <a:ln w="31750"/>
            <a:scene3d>
              <a:camera prst="orthographicFront"/>
              <a:lightRig rig="threePt" dir="t"/>
            </a:scene3d>
            <a:sp3d prstMaterial="matte">
              <a:contourClr>
                <a:srgbClr val="000000"/>
              </a:contourClr>
            </a:sp3d>
          </c:spPr>
          <c:explosion val="5"/>
          <c:dPt>
            <c:idx val="0"/>
            <c:bubble3D val="0"/>
            <c:explosion val="2"/>
            <c:spPr>
              <a:solidFill>
                <a:schemeClr val="accent3">
                  <a:lumMod val="20000"/>
                  <a:lumOff val="80000"/>
                </a:schemeClr>
              </a:solidFill>
              <a:ln w="31750">
                <a:solidFill>
                  <a:schemeClr val="accent3">
                    <a:lumMod val="20000"/>
                    <a:lumOff val="80000"/>
                  </a:schemeClr>
                </a:solidFill>
              </a:ln>
              <a:effectLst/>
              <a:scene3d>
                <a:camera prst="orthographicFront"/>
                <a:lightRig rig="threePt" dir="t"/>
              </a:scene3d>
              <a:sp3d contourW="31750" prstMaterial="matte">
                <a:contourClr>
                  <a:schemeClr val="accent3">
                    <a:lumMod val="20000"/>
                    <a:lumOff val="80000"/>
                  </a:schemeClr>
                </a:contourClr>
              </a:sp3d>
            </c:spPr>
            <c:extLst>
              <c:ext xmlns:c16="http://schemas.microsoft.com/office/drawing/2014/chart" uri="{C3380CC4-5D6E-409C-BE32-E72D297353CC}">
                <c16:uniqueId val="{00000001-2327-4488-893D-54B7FED9A11D}"/>
              </c:ext>
            </c:extLst>
          </c:dPt>
          <c:dPt>
            <c:idx val="1"/>
            <c:bubble3D val="0"/>
            <c:spPr>
              <a:solidFill>
                <a:srgbClr val="FFCCCC"/>
              </a:solidFill>
              <a:ln w="31750">
                <a:solidFill>
                  <a:srgbClr val="FFCCCC"/>
                </a:solidFill>
              </a:ln>
              <a:effectLst/>
              <a:scene3d>
                <a:camera prst="orthographicFront"/>
                <a:lightRig rig="threePt" dir="t"/>
              </a:scene3d>
              <a:sp3d contourW="31750" prstMaterial="matte">
                <a:contourClr>
                  <a:srgbClr val="FFCCCC"/>
                </a:contourClr>
              </a:sp3d>
            </c:spPr>
            <c:extLst>
              <c:ext xmlns:c16="http://schemas.microsoft.com/office/drawing/2014/chart" uri="{C3380CC4-5D6E-409C-BE32-E72D297353CC}">
                <c16:uniqueId val="{00000003-2327-4488-893D-54B7FED9A11D}"/>
              </c:ext>
            </c:extLst>
          </c:dPt>
          <c:dPt>
            <c:idx val="2"/>
            <c:bubble3D val="0"/>
            <c:spPr>
              <a:solidFill>
                <a:srgbClr val="FFC000"/>
              </a:solidFill>
              <a:ln w="31750">
                <a:solidFill>
                  <a:srgbClr val="FFC000"/>
                </a:solidFill>
              </a:ln>
              <a:effectLst/>
              <a:scene3d>
                <a:camera prst="orthographicFront"/>
                <a:lightRig rig="threePt" dir="t"/>
              </a:scene3d>
              <a:sp3d contourW="31750" prstMaterial="matte">
                <a:contourClr>
                  <a:srgbClr val="FFC000"/>
                </a:contourClr>
              </a:sp3d>
            </c:spPr>
            <c:extLst>
              <c:ext xmlns:c16="http://schemas.microsoft.com/office/drawing/2014/chart" uri="{C3380CC4-5D6E-409C-BE32-E72D297353CC}">
                <c16:uniqueId val="{00000005-2327-4488-893D-54B7FED9A11D}"/>
              </c:ext>
            </c:extLst>
          </c:dPt>
          <c:dPt>
            <c:idx val="3"/>
            <c:bubble3D val="0"/>
            <c:spPr>
              <a:solidFill>
                <a:schemeClr val="bg1">
                  <a:lumMod val="85000"/>
                </a:schemeClr>
              </a:solidFill>
              <a:ln w="31750">
                <a:solidFill>
                  <a:schemeClr val="bg1">
                    <a:lumMod val="85000"/>
                  </a:schemeClr>
                </a:solidFill>
              </a:ln>
              <a:effectLst/>
              <a:scene3d>
                <a:camera prst="orthographicFront"/>
                <a:lightRig rig="threePt" dir="t"/>
              </a:scene3d>
              <a:sp3d contourW="31750" prstMaterial="matte">
                <a:contourClr>
                  <a:schemeClr val="bg1">
                    <a:lumMod val="85000"/>
                  </a:schemeClr>
                </a:contourClr>
              </a:sp3d>
            </c:spPr>
            <c:extLst>
              <c:ext xmlns:c16="http://schemas.microsoft.com/office/drawing/2014/chart" uri="{C3380CC4-5D6E-409C-BE32-E72D297353CC}">
                <c16:uniqueId val="{00000007-2327-4488-893D-54B7FED9A11D}"/>
              </c:ext>
            </c:extLst>
          </c:dPt>
          <c:dPt>
            <c:idx val="4"/>
            <c:bubble3D val="0"/>
            <c:spPr>
              <a:solidFill>
                <a:schemeClr val="accent6">
                  <a:lumMod val="20000"/>
                  <a:lumOff val="80000"/>
                </a:schemeClr>
              </a:solidFill>
              <a:ln w="31750">
                <a:solidFill>
                  <a:schemeClr val="accent6">
                    <a:lumMod val="20000"/>
                    <a:lumOff val="80000"/>
                  </a:schemeClr>
                </a:solidFill>
              </a:ln>
              <a:effectLst/>
              <a:scene3d>
                <a:camera prst="orthographicFront"/>
                <a:lightRig rig="threePt" dir="t"/>
              </a:scene3d>
              <a:sp3d contourW="31750" prstMaterial="matte">
                <a:contourClr>
                  <a:schemeClr val="accent6">
                    <a:lumMod val="20000"/>
                    <a:lumOff val="80000"/>
                  </a:schemeClr>
                </a:contourClr>
              </a:sp3d>
            </c:spPr>
            <c:extLst>
              <c:ext xmlns:c16="http://schemas.microsoft.com/office/drawing/2014/chart" uri="{C3380CC4-5D6E-409C-BE32-E72D297353CC}">
                <c16:uniqueId val="{00000009-2327-4488-893D-54B7FED9A11D}"/>
              </c:ext>
            </c:extLst>
          </c:dPt>
          <c:dLbls>
            <c:spPr>
              <a:noFill/>
              <a:ln>
                <a:noFill/>
              </a:ln>
              <a:effectLst/>
            </c:spPr>
            <c:txPr>
              <a:bodyPr rot="0" spcFirstLastPara="1" vertOverflow="ellipsis" vert="horz" wrap="square" lIns="38100" tIns="19050" rIns="38100" bIns="19050" anchor="ctr" anchorCtr="0">
                <a:spAutoFit/>
              </a:bodyPr>
              <a:lstStyle/>
              <a:p>
                <a:pPr>
                  <a:defRPr sz="1200" b="0" i="0" u="none" strike="noStrike" kern="1200" baseline="0">
                    <a:solidFill>
                      <a:schemeClr val="tx1">
                        <a:lumMod val="75000"/>
                        <a:lumOff val="25000"/>
                      </a:schemeClr>
                    </a:solidFill>
                    <a:latin typeface="+mn-lt"/>
                    <a:ea typeface="+mn-ea"/>
                    <a:cs typeface="+mn-cs"/>
                  </a:defRPr>
                </a:pPr>
                <a:endParaRPr lang="lt-LT"/>
              </a:p>
            </c:txPr>
            <c:dLblPos val="inEnd"/>
            <c:showLegendKey val="0"/>
            <c:showVal val="1"/>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Planas!$V$311:$V$315</c:f>
              <c:strCache>
                <c:ptCount val="5"/>
                <c:pt idx="0">
                  <c:v>Priemonė buvo įvykdyta pagal planą</c:v>
                </c:pt>
                <c:pt idx="1">
                  <c:v>Vykdant priemonę buvo pasiekta vertinimo kriterijų reikšmių mažiau nei 50 %</c:v>
                </c:pt>
                <c:pt idx="2">
                  <c:v>Vykdant priemonę buvo pasiekta vertinimo kriterijų reikšmių 50 % ir daugiau</c:v>
                </c:pt>
                <c:pt idx="3">
                  <c:v>Vykdant priemonę buvo pasiekta daugiau vertinimo kriterijų reikšmių nei planuota</c:v>
                </c:pt>
                <c:pt idx="4">
                  <c:v>Priemonė neįvykdyta, t.y. nepasiekta planuota vertinimo kriterijų reikšmė</c:v>
                </c:pt>
              </c:strCache>
            </c:strRef>
          </c:cat>
          <c:val>
            <c:numRef>
              <c:f>Planas!$W$311:$W$315</c:f>
              <c:numCache>
                <c:formatCode>General</c:formatCode>
                <c:ptCount val="5"/>
                <c:pt idx="0">
                  <c:v>3</c:v>
                </c:pt>
                <c:pt idx="1">
                  <c:v>2</c:v>
                </c:pt>
                <c:pt idx="2">
                  <c:v>2</c:v>
                </c:pt>
                <c:pt idx="3">
                  <c:v>3</c:v>
                </c:pt>
              </c:numCache>
            </c:numRef>
          </c:val>
          <c:extLst>
            <c:ext xmlns:c16="http://schemas.microsoft.com/office/drawing/2014/chart" uri="{C3380CC4-5D6E-409C-BE32-E72D297353CC}">
              <c16:uniqueId val="{0000000A-2327-4488-893D-54B7FED9A11D}"/>
            </c:ext>
          </c:extLst>
        </c:ser>
        <c:dLbls>
          <c:dLblPos val="bestFit"/>
          <c:showLegendKey val="0"/>
          <c:showVal val="1"/>
          <c:showCatName val="0"/>
          <c:showSerName val="0"/>
          <c:showPercent val="0"/>
          <c:showBubbleSize val="0"/>
          <c:showLeaderLines val="1"/>
        </c:dLbls>
      </c:pie3DChart>
      <c:spPr>
        <a:solidFill>
          <a:schemeClr val="bg1">
            <a:lumMod val="95000"/>
          </a:schemeClr>
        </a:solidFill>
        <a:ln>
          <a:noFill/>
        </a:ln>
        <a:effectLst/>
      </c:spPr>
    </c:plotArea>
    <c:legend>
      <c:legendPos val="b"/>
      <c:layout>
        <c:manualLayout>
          <c:xMode val="edge"/>
          <c:yMode val="edge"/>
          <c:x val="2.256379873216996E-2"/>
          <c:y val="0.75093203096705152"/>
          <c:w val="0.95487225100822581"/>
          <c:h val="0.23416642482620731"/>
        </c:manualLayout>
      </c:layout>
      <c:overlay val="0"/>
      <c:spPr>
        <a:solidFill>
          <a:schemeClr val="bg1">
            <a:lumMod val="95000"/>
          </a:schemeClr>
        </a:solidFill>
        <a:ln>
          <a:gradFill flip="none" rotWithShape="1">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tileRect/>
          </a:gradFill>
        </a:ln>
        <a:effectLst/>
      </c:spPr>
      <c:txPr>
        <a:bodyPr rot="0" spcFirstLastPara="1" vertOverflow="ellipsis" vert="horz" wrap="square" anchor="ctr" anchorCtr="1"/>
        <a:lstStyle/>
        <a:p>
          <a:pPr>
            <a:defRPr sz="1200" b="0" i="0" u="none" strike="noStrike" kern="1200" baseline="0">
              <a:ln>
                <a:noFill/>
              </a:ln>
              <a:solidFill>
                <a:schemeClr val="tx1"/>
              </a:solidFill>
              <a:latin typeface="Times New Roman" panose="02020603050405020304" pitchFamily="18" charset="0"/>
              <a:ea typeface="+mn-ea"/>
              <a:cs typeface="Times New Roman" panose="02020603050405020304" pitchFamily="18" charset="0"/>
            </a:defRPr>
          </a:pPr>
          <a:endParaRPr lang="lt-LT"/>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lumMod val="85000"/>
      </a:schemeClr>
    </a:solidFill>
    <a:ln w="9525" cap="flat" cmpd="sng" algn="ctr">
      <a:solidFill>
        <a:schemeClr val="tx1">
          <a:lumMod val="15000"/>
          <a:lumOff val="85000"/>
        </a:schemeClr>
      </a:solidFill>
      <a:round/>
    </a:ln>
    <a:effectLst>
      <a:softEdge rad="0"/>
    </a:effectLst>
  </c:spPr>
  <c:txPr>
    <a:bodyPr/>
    <a:lstStyle/>
    <a:p>
      <a:pPr>
        <a:defRPr/>
      </a:pPr>
      <a:endParaRPr lang="lt-LT"/>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18" Type="http://schemas.openxmlformats.org/officeDocument/2006/relationships/chart" Target="../charts/chart18.xml"/><Relationship Id="rId3" Type="http://schemas.openxmlformats.org/officeDocument/2006/relationships/chart" Target="../charts/chart3.xml"/><Relationship Id="rId21" Type="http://schemas.openxmlformats.org/officeDocument/2006/relationships/chart" Target="../charts/chart21.xml"/><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5" Type="http://schemas.openxmlformats.org/officeDocument/2006/relationships/chart" Target="../charts/chart15.xml"/><Relationship Id="rId10" Type="http://schemas.openxmlformats.org/officeDocument/2006/relationships/chart" Target="../charts/chart10.xml"/><Relationship Id="rId19" Type="http://schemas.openxmlformats.org/officeDocument/2006/relationships/chart" Target="../charts/chart19.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s>
</file>

<file path=xl/drawings/drawing1.xml><?xml version="1.0" encoding="utf-8"?>
<xdr:wsDr xmlns:xdr="http://schemas.openxmlformats.org/drawingml/2006/spreadsheetDrawing" xmlns:a="http://schemas.openxmlformats.org/drawingml/2006/main">
  <xdr:twoCellAnchor>
    <xdr:from>
      <xdr:col>20</xdr:col>
      <xdr:colOff>0</xdr:colOff>
      <xdr:row>15</xdr:row>
      <xdr:rowOff>261257</xdr:rowOff>
    </xdr:from>
    <xdr:to>
      <xdr:col>23</xdr:col>
      <xdr:colOff>0</xdr:colOff>
      <xdr:row>20</xdr:row>
      <xdr:rowOff>557893</xdr:rowOff>
    </xdr:to>
    <xdr:graphicFrame macro="">
      <xdr:nvGraphicFramePr>
        <xdr:cNvPr id="4" name="Diagrama 3">
          <a:extLst>
            <a:ext uri="{FF2B5EF4-FFF2-40B4-BE49-F238E27FC236}">
              <a16:creationId xmlns:a16="http://schemas.microsoft.com/office/drawing/2014/main" id="{D46334FC-F847-98D0-C0B8-34601FFEC3D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20</xdr:col>
      <xdr:colOff>0</xdr:colOff>
      <xdr:row>21</xdr:row>
      <xdr:rowOff>0</xdr:rowOff>
    </xdr:from>
    <xdr:to>
      <xdr:col>23</xdr:col>
      <xdr:colOff>0</xdr:colOff>
      <xdr:row>27</xdr:row>
      <xdr:rowOff>122464</xdr:rowOff>
    </xdr:to>
    <xdr:graphicFrame macro="">
      <xdr:nvGraphicFramePr>
        <xdr:cNvPr id="5" name="Diagrama 4">
          <a:extLst>
            <a:ext uri="{FF2B5EF4-FFF2-40B4-BE49-F238E27FC236}">
              <a16:creationId xmlns:a16="http://schemas.microsoft.com/office/drawing/2014/main" id="{52D07156-F24C-437C-BB3C-1266097C3EC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20</xdr:col>
      <xdr:colOff>40822</xdr:colOff>
      <xdr:row>67</xdr:row>
      <xdr:rowOff>299358</xdr:rowOff>
    </xdr:from>
    <xdr:to>
      <xdr:col>23</xdr:col>
      <xdr:colOff>40822</xdr:colOff>
      <xdr:row>71</xdr:row>
      <xdr:rowOff>405493</xdr:rowOff>
    </xdr:to>
    <xdr:graphicFrame macro="">
      <xdr:nvGraphicFramePr>
        <xdr:cNvPr id="6" name="Diagrama 5">
          <a:extLst>
            <a:ext uri="{FF2B5EF4-FFF2-40B4-BE49-F238E27FC236}">
              <a16:creationId xmlns:a16="http://schemas.microsoft.com/office/drawing/2014/main" id="{44ED8B46-0BF5-4892-91B0-4FFA92A2E1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20</xdr:col>
      <xdr:colOff>0</xdr:colOff>
      <xdr:row>72</xdr:row>
      <xdr:rowOff>285750</xdr:rowOff>
    </xdr:from>
    <xdr:to>
      <xdr:col>23</xdr:col>
      <xdr:colOff>84642</xdr:colOff>
      <xdr:row>77</xdr:row>
      <xdr:rowOff>1324728</xdr:rowOff>
    </xdr:to>
    <xdr:graphicFrame macro="">
      <xdr:nvGraphicFramePr>
        <xdr:cNvPr id="7" name="Diagrama 6">
          <a:extLst>
            <a:ext uri="{FF2B5EF4-FFF2-40B4-BE49-F238E27FC236}">
              <a16:creationId xmlns:a16="http://schemas.microsoft.com/office/drawing/2014/main" id="{ABD490F3-1DA2-4F50-9D78-2A2CAE07EE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20</xdr:col>
      <xdr:colOff>0</xdr:colOff>
      <xdr:row>133</xdr:row>
      <xdr:rowOff>13607</xdr:rowOff>
    </xdr:from>
    <xdr:to>
      <xdr:col>23</xdr:col>
      <xdr:colOff>0</xdr:colOff>
      <xdr:row>142</xdr:row>
      <xdr:rowOff>78921</xdr:rowOff>
    </xdr:to>
    <xdr:graphicFrame macro="">
      <xdr:nvGraphicFramePr>
        <xdr:cNvPr id="8" name="Diagrama 7">
          <a:extLst>
            <a:ext uri="{FF2B5EF4-FFF2-40B4-BE49-F238E27FC236}">
              <a16:creationId xmlns:a16="http://schemas.microsoft.com/office/drawing/2014/main" id="{4A64EB8A-8200-4672-BE80-129CFCB061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xdr:col>
      <xdr:colOff>857250</xdr:colOff>
      <xdr:row>142</xdr:row>
      <xdr:rowOff>285750</xdr:rowOff>
    </xdr:from>
    <xdr:to>
      <xdr:col>22</xdr:col>
      <xdr:colOff>1333501</xdr:colOff>
      <xdr:row>151</xdr:row>
      <xdr:rowOff>190500</xdr:rowOff>
    </xdr:to>
    <xdr:graphicFrame macro="">
      <xdr:nvGraphicFramePr>
        <xdr:cNvPr id="9" name="Diagrama 8">
          <a:extLst>
            <a:ext uri="{FF2B5EF4-FFF2-40B4-BE49-F238E27FC236}">
              <a16:creationId xmlns:a16="http://schemas.microsoft.com/office/drawing/2014/main" id="{0231C170-F1CD-49C4-A95C-0E80CC570BE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20</xdr:col>
      <xdr:colOff>0</xdr:colOff>
      <xdr:row>180</xdr:row>
      <xdr:rowOff>272143</xdr:rowOff>
    </xdr:from>
    <xdr:to>
      <xdr:col>23</xdr:col>
      <xdr:colOff>0</xdr:colOff>
      <xdr:row>190</xdr:row>
      <xdr:rowOff>378279</xdr:rowOff>
    </xdr:to>
    <xdr:graphicFrame macro="">
      <xdr:nvGraphicFramePr>
        <xdr:cNvPr id="2" name="Diagrama 1">
          <a:extLst>
            <a:ext uri="{FF2B5EF4-FFF2-40B4-BE49-F238E27FC236}">
              <a16:creationId xmlns:a16="http://schemas.microsoft.com/office/drawing/2014/main" id="{87F426AD-17F4-4FDC-AE04-81FAB8F9793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20</xdr:col>
      <xdr:colOff>0</xdr:colOff>
      <xdr:row>191</xdr:row>
      <xdr:rowOff>122464</xdr:rowOff>
    </xdr:from>
    <xdr:to>
      <xdr:col>23</xdr:col>
      <xdr:colOff>84642</xdr:colOff>
      <xdr:row>201</xdr:row>
      <xdr:rowOff>998156</xdr:rowOff>
    </xdr:to>
    <xdr:graphicFrame macro="">
      <xdr:nvGraphicFramePr>
        <xdr:cNvPr id="3" name="Diagrama 2">
          <a:extLst>
            <a:ext uri="{FF2B5EF4-FFF2-40B4-BE49-F238E27FC236}">
              <a16:creationId xmlns:a16="http://schemas.microsoft.com/office/drawing/2014/main" id="{351FD2B9-761D-4811-BBA1-B612BDD6090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20</xdr:col>
      <xdr:colOff>13608</xdr:colOff>
      <xdr:row>316</xdr:row>
      <xdr:rowOff>326572</xdr:rowOff>
    </xdr:from>
    <xdr:to>
      <xdr:col>23</xdr:col>
      <xdr:colOff>13608</xdr:colOff>
      <xdr:row>318</xdr:row>
      <xdr:rowOff>990601</xdr:rowOff>
    </xdr:to>
    <xdr:graphicFrame macro="">
      <xdr:nvGraphicFramePr>
        <xdr:cNvPr id="10" name="Diagrama 9">
          <a:extLst>
            <a:ext uri="{FF2B5EF4-FFF2-40B4-BE49-F238E27FC236}">
              <a16:creationId xmlns:a16="http://schemas.microsoft.com/office/drawing/2014/main" id="{D641AD5B-CCB5-4A3F-A905-F9C08674023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20</xdr:col>
      <xdr:colOff>0</xdr:colOff>
      <xdr:row>318</xdr:row>
      <xdr:rowOff>1224642</xdr:rowOff>
    </xdr:from>
    <xdr:to>
      <xdr:col>23</xdr:col>
      <xdr:colOff>0</xdr:colOff>
      <xdr:row>320</xdr:row>
      <xdr:rowOff>1265464</xdr:rowOff>
    </xdr:to>
    <xdr:graphicFrame macro="">
      <xdr:nvGraphicFramePr>
        <xdr:cNvPr id="11" name="Diagrama 10">
          <a:extLst>
            <a:ext uri="{FF2B5EF4-FFF2-40B4-BE49-F238E27FC236}">
              <a16:creationId xmlns:a16="http://schemas.microsoft.com/office/drawing/2014/main" id="{85AC7059-165F-489A-ABC9-907CF5938A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20</xdr:col>
      <xdr:colOff>13607</xdr:colOff>
      <xdr:row>364</xdr:row>
      <xdr:rowOff>312964</xdr:rowOff>
    </xdr:from>
    <xdr:to>
      <xdr:col>23</xdr:col>
      <xdr:colOff>13607</xdr:colOff>
      <xdr:row>372</xdr:row>
      <xdr:rowOff>160563</xdr:rowOff>
    </xdr:to>
    <xdr:graphicFrame macro="">
      <xdr:nvGraphicFramePr>
        <xdr:cNvPr id="12" name="Diagrama 11">
          <a:extLst>
            <a:ext uri="{FF2B5EF4-FFF2-40B4-BE49-F238E27FC236}">
              <a16:creationId xmlns:a16="http://schemas.microsoft.com/office/drawing/2014/main" id="{9A554689-170D-4699-B0B3-AFA7C775C45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19</xdr:col>
      <xdr:colOff>843643</xdr:colOff>
      <xdr:row>372</xdr:row>
      <xdr:rowOff>435427</xdr:rowOff>
    </xdr:from>
    <xdr:to>
      <xdr:col>23</xdr:col>
      <xdr:colOff>0</xdr:colOff>
      <xdr:row>380</xdr:row>
      <xdr:rowOff>181726</xdr:rowOff>
    </xdr:to>
    <xdr:graphicFrame macro="">
      <xdr:nvGraphicFramePr>
        <xdr:cNvPr id="13" name="Diagrama 12">
          <a:extLst>
            <a:ext uri="{FF2B5EF4-FFF2-40B4-BE49-F238E27FC236}">
              <a16:creationId xmlns:a16="http://schemas.microsoft.com/office/drawing/2014/main" id="{56611AF6-40BE-4F9F-9D75-51309E2C1CA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20</xdr:col>
      <xdr:colOff>13607</xdr:colOff>
      <xdr:row>398</xdr:row>
      <xdr:rowOff>231321</xdr:rowOff>
    </xdr:from>
    <xdr:to>
      <xdr:col>23</xdr:col>
      <xdr:colOff>13607</xdr:colOff>
      <xdr:row>403</xdr:row>
      <xdr:rowOff>786492</xdr:rowOff>
    </xdr:to>
    <xdr:graphicFrame macro="">
      <xdr:nvGraphicFramePr>
        <xdr:cNvPr id="14" name="Diagrama 13">
          <a:extLst>
            <a:ext uri="{FF2B5EF4-FFF2-40B4-BE49-F238E27FC236}">
              <a16:creationId xmlns:a16="http://schemas.microsoft.com/office/drawing/2014/main" id="{36466603-21C4-4AAE-856C-05C4DF4C15D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20</xdr:col>
      <xdr:colOff>13608</xdr:colOff>
      <xdr:row>403</xdr:row>
      <xdr:rowOff>1115786</xdr:rowOff>
    </xdr:from>
    <xdr:to>
      <xdr:col>23</xdr:col>
      <xdr:colOff>0</xdr:colOff>
      <xdr:row>404</xdr:row>
      <xdr:rowOff>1869013</xdr:rowOff>
    </xdr:to>
    <xdr:graphicFrame macro="">
      <xdr:nvGraphicFramePr>
        <xdr:cNvPr id="15" name="Diagrama 14">
          <a:extLst>
            <a:ext uri="{FF2B5EF4-FFF2-40B4-BE49-F238E27FC236}">
              <a16:creationId xmlns:a16="http://schemas.microsoft.com/office/drawing/2014/main" id="{B20A571A-2E2D-4611-9A01-7B827945FAB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20</xdr:col>
      <xdr:colOff>13607</xdr:colOff>
      <xdr:row>460</xdr:row>
      <xdr:rowOff>285750</xdr:rowOff>
    </xdr:from>
    <xdr:to>
      <xdr:col>23</xdr:col>
      <xdr:colOff>13607</xdr:colOff>
      <xdr:row>464</xdr:row>
      <xdr:rowOff>133350</xdr:rowOff>
    </xdr:to>
    <xdr:graphicFrame macro="">
      <xdr:nvGraphicFramePr>
        <xdr:cNvPr id="16" name="Diagrama 15">
          <a:extLst>
            <a:ext uri="{FF2B5EF4-FFF2-40B4-BE49-F238E27FC236}">
              <a16:creationId xmlns:a16="http://schemas.microsoft.com/office/drawing/2014/main" id="{8E8C23DF-2F67-4D81-BB43-186DEEBD442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20</xdr:col>
      <xdr:colOff>1</xdr:colOff>
      <xdr:row>464</xdr:row>
      <xdr:rowOff>408213</xdr:rowOff>
    </xdr:from>
    <xdr:to>
      <xdr:col>23</xdr:col>
      <xdr:colOff>13608</xdr:colOff>
      <xdr:row>472</xdr:row>
      <xdr:rowOff>535511</xdr:rowOff>
    </xdr:to>
    <xdr:graphicFrame macro="">
      <xdr:nvGraphicFramePr>
        <xdr:cNvPr id="17" name="Diagrama 16">
          <a:extLst>
            <a:ext uri="{FF2B5EF4-FFF2-40B4-BE49-F238E27FC236}">
              <a16:creationId xmlns:a16="http://schemas.microsoft.com/office/drawing/2014/main" id="{63A3C13A-738F-4F4D-AA2A-8D12AFE9D4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20</xdr:col>
      <xdr:colOff>0</xdr:colOff>
      <xdr:row>647</xdr:row>
      <xdr:rowOff>0</xdr:rowOff>
    </xdr:from>
    <xdr:to>
      <xdr:col>23</xdr:col>
      <xdr:colOff>0</xdr:colOff>
      <xdr:row>656</xdr:row>
      <xdr:rowOff>24492</xdr:rowOff>
    </xdr:to>
    <xdr:graphicFrame macro="">
      <xdr:nvGraphicFramePr>
        <xdr:cNvPr id="18" name="Diagrama 17">
          <a:extLst>
            <a:ext uri="{FF2B5EF4-FFF2-40B4-BE49-F238E27FC236}">
              <a16:creationId xmlns:a16="http://schemas.microsoft.com/office/drawing/2014/main" id="{CD5AC9B3-677A-4176-8781-CD849093428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20</xdr:col>
      <xdr:colOff>0</xdr:colOff>
      <xdr:row>656</xdr:row>
      <xdr:rowOff>285749</xdr:rowOff>
    </xdr:from>
    <xdr:to>
      <xdr:col>23</xdr:col>
      <xdr:colOff>0</xdr:colOff>
      <xdr:row>667</xdr:row>
      <xdr:rowOff>462643</xdr:rowOff>
    </xdr:to>
    <xdr:graphicFrame macro="">
      <xdr:nvGraphicFramePr>
        <xdr:cNvPr id="19" name="Diagrama 18">
          <a:extLst>
            <a:ext uri="{FF2B5EF4-FFF2-40B4-BE49-F238E27FC236}">
              <a16:creationId xmlns:a16="http://schemas.microsoft.com/office/drawing/2014/main" id="{6EB8E297-410E-460B-B2DE-CE3EE6FA41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20</xdr:col>
      <xdr:colOff>13607</xdr:colOff>
      <xdr:row>704</xdr:row>
      <xdr:rowOff>353785</xdr:rowOff>
    </xdr:from>
    <xdr:to>
      <xdr:col>23</xdr:col>
      <xdr:colOff>13607</xdr:colOff>
      <xdr:row>710</xdr:row>
      <xdr:rowOff>160564</xdr:rowOff>
    </xdr:to>
    <xdr:graphicFrame macro="">
      <xdr:nvGraphicFramePr>
        <xdr:cNvPr id="20" name="Diagrama 19">
          <a:extLst>
            <a:ext uri="{FF2B5EF4-FFF2-40B4-BE49-F238E27FC236}">
              <a16:creationId xmlns:a16="http://schemas.microsoft.com/office/drawing/2014/main" id="{84BE4E76-98EA-4292-A630-2F285FFB925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20</xdr:col>
      <xdr:colOff>13607</xdr:colOff>
      <xdr:row>712</xdr:row>
      <xdr:rowOff>0</xdr:rowOff>
    </xdr:from>
    <xdr:to>
      <xdr:col>23</xdr:col>
      <xdr:colOff>13607</xdr:colOff>
      <xdr:row>714</xdr:row>
      <xdr:rowOff>603548</xdr:rowOff>
    </xdr:to>
    <xdr:graphicFrame macro="">
      <xdr:nvGraphicFramePr>
        <xdr:cNvPr id="21" name="Diagrama 20">
          <a:extLst>
            <a:ext uri="{FF2B5EF4-FFF2-40B4-BE49-F238E27FC236}">
              <a16:creationId xmlns:a16="http://schemas.microsoft.com/office/drawing/2014/main" id="{AFA686EC-3AF7-4977-B298-62AAB7C78E1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20</xdr:col>
      <xdr:colOff>13607</xdr:colOff>
      <xdr:row>829</xdr:row>
      <xdr:rowOff>326571</xdr:rowOff>
    </xdr:from>
    <xdr:to>
      <xdr:col>23</xdr:col>
      <xdr:colOff>13607</xdr:colOff>
      <xdr:row>833</xdr:row>
      <xdr:rowOff>323849</xdr:rowOff>
    </xdr:to>
    <xdr:graphicFrame macro="">
      <xdr:nvGraphicFramePr>
        <xdr:cNvPr id="22" name="Diagrama 21">
          <a:extLst>
            <a:ext uri="{FF2B5EF4-FFF2-40B4-BE49-F238E27FC236}">
              <a16:creationId xmlns:a16="http://schemas.microsoft.com/office/drawing/2014/main" id="{1AB1918C-C5A9-4D99-9B8E-AB3AD4C70D3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20</xdr:col>
      <xdr:colOff>13608</xdr:colOff>
      <xdr:row>834</xdr:row>
      <xdr:rowOff>231322</xdr:rowOff>
    </xdr:from>
    <xdr:to>
      <xdr:col>22</xdr:col>
      <xdr:colOff>1333500</xdr:colOff>
      <xdr:row>837</xdr:row>
      <xdr:rowOff>467477</xdr:rowOff>
    </xdr:to>
    <xdr:graphicFrame macro="">
      <xdr:nvGraphicFramePr>
        <xdr:cNvPr id="23" name="Diagrama 22">
          <a:extLst>
            <a:ext uri="{FF2B5EF4-FFF2-40B4-BE49-F238E27FC236}">
              <a16:creationId xmlns:a16="http://schemas.microsoft.com/office/drawing/2014/main" id="{28B2A1F6-EDA5-4985-A944-BB334E30A53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kristina.kecedzi\Desktop\STRAPIS%20ketvirtin&#279;s\2024\2024%20m.%20grafikai.xlsx" TargetMode="External"/><Relationship Id="rId1" Type="http://schemas.openxmlformats.org/officeDocument/2006/relationships/externalLinkPath" Target="https://avilys.siauliai.lt/Users/kristina.kecedzi/Desktop/STRAPIS%20ketvirtin&#279;s/2024/2024%20m.%20grafika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2024 m"/>
    </sheetNames>
    <sheetDataSet>
      <sheetData sheetId="0">
        <row r="2">
          <cell r="C2">
            <v>2023</v>
          </cell>
          <cell r="D2">
            <v>2024</v>
          </cell>
        </row>
        <row r="3">
          <cell r="B3" t="str">
            <v>Priemonė buvo įvykdyta pagal planą</v>
          </cell>
          <cell r="C3">
            <v>0</v>
          </cell>
          <cell r="D3">
            <v>1</v>
          </cell>
        </row>
        <row r="4">
          <cell r="B4" t="str">
            <v>Vykdant priemonę buvo pasiekta vertinimo kriterijų reikšmių mažiau nei 50 %</v>
          </cell>
          <cell r="C4">
            <v>2</v>
          </cell>
          <cell r="D4">
            <v>1</v>
          </cell>
        </row>
        <row r="5">
          <cell r="B5" t="str">
            <v>Vykdant priemonę buvo pasiekta vertinimo kriterijų reikšmių 50 % ir daugiau</v>
          </cell>
          <cell r="C5">
            <v>4</v>
          </cell>
          <cell r="D5">
            <v>4</v>
          </cell>
        </row>
        <row r="6">
          <cell r="B6" t="str">
            <v>Vykdant priemonę buvo pasiekta daugiau vertinimo kriterijų reikšmių nei planuota</v>
          </cell>
          <cell r="C6">
            <v>0</v>
          </cell>
          <cell r="D6">
            <v>1</v>
          </cell>
        </row>
        <row r="7">
          <cell r="B7" t="str">
            <v>Priemonė neįvykdyta, t.y. nepasiekta planuota vertinimo kriterijų reikšmė</v>
          </cell>
          <cell r="C7">
            <v>5</v>
          </cell>
          <cell r="D7">
            <v>4</v>
          </cell>
        </row>
        <row r="8">
          <cell r="B8" t="str">
            <v>Iš viso programų priemonių</v>
          </cell>
          <cell r="C8">
            <v>11</v>
          </cell>
          <cell r="D8">
            <v>11</v>
          </cell>
        </row>
        <row r="12">
          <cell r="C12">
            <v>2023</v>
          </cell>
          <cell r="D12">
            <v>2024</v>
          </cell>
        </row>
        <row r="13">
          <cell r="B13" t="str">
            <v>Priemonė buvo įvykdyta pagal planą</v>
          </cell>
          <cell r="C13">
            <v>10</v>
          </cell>
          <cell r="D13">
            <v>8</v>
          </cell>
        </row>
        <row r="14">
          <cell r="B14" t="str">
            <v>Vykdant priemonę buvo pasiekta vertinimo kriterijų reikšmių mažiau nei 50 %</v>
          </cell>
          <cell r="C14">
            <v>0</v>
          </cell>
          <cell r="D14">
            <v>0</v>
          </cell>
        </row>
        <row r="15">
          <cell r="B15" t="str">
            <v>Vykdant priemonę buvo pasiekta vertinimo kriterijų reikšmių 50 % ir daugiau</v>
          </cell>
          <cell r="C15">
            <v>3</v>
          </cell>
          <cell r="D15">
            <v>3</v>
          </cell>
        </row>
        <row r="16">
          <cell r="B16" t="str">
            <v>Vykdant priemonę buvo pasiekta daugiau vertinimo kriterijų reikšmių nei planuota</v>
          </cell>
          <cell r="C16">
            <v>3</v>
          </cell>
          <cell r="D16">
            <v>4</v>
          </cell>
        </row>
        <row r="17">
          <cell r="B17" t="str">
            <v>Priemonė neįvykdyta, t.y. nepasiekta planuota vertinimo kriterijų reikšmė</v>
          </cell>
          <cell r="C17">
            <v>1</v>
          </cell>
          <cell r="D17">
            <v>0</v>
          </cell>
        </row>
        <row r="18">
          <cell r="B18" t="str">
            <v>Iš viso programų priemonių</v>
          </cell>
          <cell r="C18">
            <v>17</v>
          </cell>
          <cell r="D18">
            <v>15</v>
          </cell>
        </row>
        <row r="24">
          <cell r="C24">
            <v>2023</v>
          </cell>
          <cell r="D24">
            <v>2024</v>
          </cell>
        </row>
        <row r="25">
          <cell r="B25" t="str">
            <v>Priemonė buvo įvykdyta pagal planą</v>
          </cell>
          <cell r="C25">
            <v>7</v>
          </cell>
          <cell r="D25">
            <v>6</v>
          </cell>
        </row>
        <row r="26">
          <cell r="B26" t="str">
            <v>Vykdant priemonę buvo pasiekta vertinimo kriterijų reikšmių mažiau nei 50 %</v>
          </cell>
          <cell r="C26">
            <v>1</v>
          </cell>
          <cell r="D26">
            <v>0</v>
          </cell>
        </row>
        <row r="27">
          <cell r="B27" t="str">
            <v>Vykdant priemonę buvo pasiekta vertinimo kriterijų reikšmių 50 % ir daugiau</v>
          </cell>
          <cell r="C27">
            <v>5</v>
          </cell>
          <cell r="D27">
            <v>3</v>
          </cell>
        </row>
        <row r="28">
          <cell r="B28" t="str">
            <v>Vykdant priemonę buvo pasiekta daugiau vertinimo kriterijų reikšmių nei planuota</v>
          </cell>
          <cell r="C28">
            <v>3</v>
          </cell>
          <cell r="D28">
            <v>5</v>
          </cell>
        </row>
        <row r="29">
          <cell r="B29" t="str">
            <v>Priemonė neįvykdyta, t.y. nepasiekta planuota vertinimo kriterijų reikšmė</v>
          </cell>
          <cell r="C29">
            <v>0</v>
          </cell>
          <cell r="D29">
            <v>0</v>
          </cell>
        </row>
        <row r="30">
          <cell r="B30" t="str">
            <v>Iš viso programų priemonių</v>
          </cell>
          <cell r="C30">
            <v>16</v>
          </cell>
          <cell r="D30">
            <v>14</v>
          </cell>
        </row>
        <row r="35">
          <cell r="C35">
            <v>2023</v>
          </cell>
          <cell r="D35">
            <v>2024</v>
          </cell>
        </row>
        <row r="36">
          <cell r="B36" t="str">
            <v>Priemonė buvo įvykdyta pagal planą</v>
          </cell>
          <cell r="C36">
            <v>5</v>
          </cell>
          <cell r="D36">
            <v>7</v>
          </cell>
        </row>
        <row r="37">
          <cell r="B37" t="str">
            <v>Vykdant priemonę buvo pasiekta vertinimo kriterijų reikšmių mažiau nei 50 %</v>
          </cell>
          <cell r="C37">
            <v>0</v>
          </cell>
          <cell r="D37">
            <v>0</v>
          </cell>
        </row>
        <row r="38">
          <cell r="B38" t="str">
            <v>Vykdant priemonę buvo pasiekta vertinimo kriterijų reikšmių 50 % ir daugiau</v>
          </cell>
          <cell r="C38">
            <v>6</v>
          </cell>
          <cell r="D38">
            <v>5</v>
          </cell>
        </row>
        <row r="39">
          <cell r="B39" t="str">
            <v>Vykdant priemonę buvo pasiekta daugiau vertinimo kriterijų reikšmių nei planuota</v>
          </cell>
          <cell r="C39">
            <v>2</v>
          </cell>
          <cell r="D39">
            <v>6</v>
          </cell>
        </row>
        <row r="40">
          <cell r="B40" t="str">
            <v>Priemonė neįvykdyta, t.y. nepasiekta planuota vertinimo kriterijų reikšmė</v>
          </cell>
          <cell r="C40">
            <v>7</v>
          </cell>
          <cell r="D40">
            <v>4</v>
          </cell>
        </row>
        <row r="41">
          <cell r="B41" t="str">
            <v>Iš viso programų priemonių</v>
          </cell>
          <cell r="C41">
            <v>20</v>
          </cell>
          <cell r="D41">
            <v>22</v>
          </cell>
        </row>
        <row r="46">
          <cell r="C46">
            <v>2023</v>
          </cell>
          <cell r="D46">
            <v>2024</v>
          </cell>
        </row>
        <row r="47">
          <cell r="B47" t="str">
            <v>Priemonė buvo įvykdyta pagal planą</v>
          </cell>
          <cell r="C47">
            <v>3</v>
          </cell>
          <cell r="D47">
            <v>3</v>
          </cell>
        </row>
        <row r="48">
          <cell r="B48" t="str">
            <v>Vykdant priemonę buvo pasiekta vertinimo kriterijų reikšmių mažiau nei 50 %</v>
          </cell>
          <cell r="C48">
            <v>1</v>
          </cell>
          <cell r="D48">
            <v>2</v>
          </cell>
        </row>
        <row r="49">
          <cell r="B49" t="str">
            <v>Vykdant priemonę buvo pasiekta vertinimo kriterijų reikšmių 50 % ir daugiau</v>
          </cell>
          <cell r="C49">
            <v>3</v>
          </cell>
          <cell r="D49">
            <v>2</v>
          </cell>
        </row>
        <row r="50">
          <cell r="B50" t="str">
            <v>Vykdant priemonę buvo pasiekta daugiau vertinimo kriterijų reikšmių nei planuota</v>
          </cell>
          <cell r="C50">
            <v>2</v>
          </cell>
          <cell r="D50">
            <v>3</v>
          </cell>
        </row>
        <row r="51">
          <cell r="B51" t="str">
            <v>Priemonė neįvykdyta, t.y. nepasiekta planuota vertinimo kriterijų reikšmė</v>
          </cell>
          <cell r="C51">
            <v>0</v>
          </cell>
          <cell r="D51">
            <v>0</v>
          </cell>
        </row>
        <row r="52">
          <cell r="B52" t="str">
            <v>Iš viso programų priemonių</v>
          </cell>
          <cell r="C52">
            <v>9</v>
          </cell>
          <cell r="D52">
            <v>10</v>
          </cell>
        </row>
        <row r="57">
          <cell r="C57">
            <v>2023</v>
          </cell>
          <cell r="D57">
            <v>2024</v>
          </cell>
        </row>
        <row r="58">
          <cell r="B58" t="str">
            <v>Priemonė buvo įvykdyta pagal planą</v>
          </cell>
          <cell r="C58">
            <v>6</v>
          </cell>
          <cell r="D58">
            <v>5</v>
          </cell>
        </row>
        <row r="59">
          <cell r="B59" t="str">
            <v>Vykdant priemonę buvo pasiekta vertinimo kriterijų reikšmių mažiau nei 50 %</v>
          </cell>
          <cell r="C59">
            <v>0</v>
          </cell>
          <cell r="D59">
            <v>2</v>
          </cell>
        </row>
        <row r="60">
          <cell r="B60" t="str">
            <v>Vykdant priemonę buvo pasiekta vertinimo kriterijų reikšmių 50 % ir daugiau</v>
          </cell>
          <cell r="C60">
            <v>3</v>
          </cell>
          <cell r="D60">
            <v>4</v>
          </cell>
        </row>
        <row r="61">
          <cell r="B61" t="str">
            <v>Vykdant priemonę buvo pasiekta daugiau vertinimo kriterijų reikšmių nei planuota</v>
          </cell>
          <cell r="C61">
            <v>3</v>
          </cell>
          <cell r="D61">
            <v>1</v>
          </cell>
        </row>
        <row r="62">
          <cell r="B62" t="str">
            <v>Priemonė neįvykdyta, t.y. nepasiekta planuota vertinimo kriterijų reikšmė</v>
          </cell>
          <cell r="C62">
            <v>1</v>
          </cell>
          <cell r="D62">
            <v>0</v>
          </cell>
        </row>
        <row r="63">
          <cell r="B63" t="str">
            <v>Iš viso programų priemonių</v>
          </cell>
          <cell r="C63">
            <v>13</v>
          </cell>
          <cell r="D63">
            <v>12</v>
          </cell>
        </row>
        <row r="68">
          <cell r="C68">
            <v>2023</v>
          </cell>
          <cell r="D68">
            <v>2024</v>
          </cell>
        </row>
        <row r="69">
          <cell r="B69" t="str">
            <v>Priemonė buvo įvykdyta pagal planą</v>
          </cell>
          <cell r="C69">
            <v>4</v>
          </cell>
          <cell r="D69">
            <v>2</v>
          </cell>
        </row>
        <row r="70">
          <cell r="B70" t="str">
            <v>Vykdant priemonę buvo pasiekta vertinimo kriterijų reikšmių mažiau nei 50 %</v>
          </cell>
          <cell r="C70">
            <v>1</v>
          </cell>
          <cell r="D70">
            <v>0</v>
          </cell>
        </row>
        <row r="71">
          <cell r="B71" t="str">
            <v>Vykdant priemonę buvo pasiekta vertinimo kriterijų reikšmių 50 % ir daugiau</v>
          </cell>
          <cell r="C71">
            <v>4</v>
          </cell>
          <cell r="D71">
            <v>4</v>
          </cell>
        </row>
        <row r="72">
          <cell r="B72" t="str">
            <v>Vykdant priemonę buvo pasiekta daugiau vertinimo kriterijų reikšmių nei planuota</v>
          </cell>
          <cell r="C72">
            <v>4</v>
          </cell>
          <cell r="D72">
            <v>7</v>
          </cell>
        </row>
        <row r="73">
          <cell r="B73" t="str">
            <v>Priemonė neįvykdyta, t.y. nepasiekta planuota vertinimo kriterijų reikšmė</v>
          </cell>
          <cell r="C73">
            <v>1</v>
          </cell>
          <cell r="D73">
            <v>1</v>
          </cell>
        </row>
        <row r="74">
          <cell r="B74" t="str">
            <v>Iš viso programų priemonių</v>
          </cell>
          <cell r="C74">
            <v>14</v>
          </cell>
          <cell r="D74">
            <v>14</v>
          </cell>
        </row>
        <row r="79">
          <cell r="C79">
            <v>2023</v>
          </cell>
          <cell r="D79">
            <v>2024</v>
          </cell>
        </row>
        <row r="80">
          <cell r="B80" t="str">
            <v>Priemonė buvo įvykdyta pagal planą</v>
          </cell>
          <cell r="C80">
            <v>17</v>
          </cell>
          <cell r="D80">
            <v>18</v>
          </cell>
        </row>
        <row r="81">
          <cell r="B81" t="str">
            <v>Vykdant priemonę buvo pasiekta vertinimo kriterijų reikšmių mažiau nei 50 %</v>
          </cell>
          <cell r="C81">
            <v>3</v>
          </cell>
          <cell r="D81">
            <v>1</v>
          </cell>
        </row>
        <row r="82">
          <cell r="B82" t="str">
            <v>Vykdant priemonę buvo pasiekta vertinimo kriterijų reikšmių 50 % ir daugiau</v>
          </cell>
          <cell r="C82">
            <v>10</v>
          </cell>
          <cell r="D82">
            <v>14</v>
          </cell>
        </row>
        <row r="83">
          <cell r="B83" t="str">
            <v>Vykdant priemonę buvo pasiekta daugiau vertinimo kriterijų reikšmių nei planuota</v>
          </cell>
          <cell r="C83">
            <v>7</v>
          </cell>
          <cell r="D83">
            <v>7</v>
          </cell>
        </row>
        <row r="84">
          <cell r="B84" t="str">
            <v>Priemonė neįvykdyta, t.y. nepasiekta planuota vertinimo kriterijų reikšmė</v>
          </cell>
          <cell r="C84">
            <v>1</v>
          </cell>
          <cell r="D84">
            <v>6</v>
          </cell>
        </row>
        <row r="85">
          <cell r="B85" t="str">
            <v>Iš viso programų priemonių</v>
          </cell>
          <cell r="C85">
            <v>38</v>
          </cell>
          <cell r="D85">
            <v>46</v>
          </cell>
        </row>
        <row r="90">
          <cell r="C90">
            <v>2023</v>
          </cell>
          <cell r="D90">
            <v>2024</v>
          </cell>
        </row>
        <row r="91">
          <cell r="B91" t="str">
            <v>Priemonė buvo įvykdyta pagal planą</v>
          </cell>
          <cell r="C91">
            <v>5</v>
          </cell>
          <cell r="D91">
            <v>3</v>
          </cell>
        </row>
        <row r="92">
          <cell r="B92" t="str">
            <v>Vykdant priemonę buvo pasiekta vertinimo kriterijų reikšmių mažiau nei 50 %</v>
          </cell>
          <cell r="C92">
            <v>0</v>
          </cell>
          <cell r="D92">
            <v>2</v>
          </cell>
        </row>
        <row r="93">
          <cell r="B93" t="str">
            <v>Vykdant priemonę buvo pasiekta vertinimo kriterijų reikšmių 50 % ir daugiau</v>
          </cell>
          <cell r="C93">
            <v>3</v>
          </cell>
          <cell r="D93">
            <v>1</v>
          </cell>
        </row>
        <row r="94">
          <cell r="B94" t="str">
            <v>Vykdant priemonę buvo pasiekta daugiau vertinimo kriterijų reikšmių nei planuota</v>
          </cell>
          <cell r="C94">
            <v>4</v>
          </cell>
          <cell r="D94">
            <v>6</v>
          </cell>
        </row>
        <row r="95">
          <cell r="B95" t="str">
            <v>Priemonė neįvykdyta, t.y. nepasiekta planuota vertinimo kriterijų reikšmė</v>
          </cell>
          <cell r="C95">
            <v>0</v>
          </cell>
          <cell r="D95">
            <v>1</v>
          </cell>
        </row>
        <row r="96">
          <cell r="B96" t="str">
            <v>Iš viso programų priemonių</v>
          </cell>
          <cell r="C96">
            <v>12</v>
          </cell>
          <cell r="D96">
            <v>13</v>
          </cell>
        </row>
        <row r="101">
          <cell r="C101">
            <v>2023</v>
          </cell>
          <cell r="D101">
            <v>2024</v>
          </cell>
        </row>
        <row r="102">
          <cell r="B102" t="str">
            <v>Priemonė buvo įvykdyta pagal planą</v>
          </cell>
          <cell r="C102">
            <v>13</v>
          </cell>
          <cell r="D102">
            <v>11</v>
          </cell>
        </row>
        <row r="103">
          <cell r="B103" t="str">
            <v>Vykdant priemonę buvo pasiekta vertinimo kriterijų reikšmių mažiau nei 50 %</v>
          </cell>
          <cell r="C103">
            <v>0</v>
          </cell>
          <cell r="D103">
            <v>0</v>
          </cell>
        </row>
        <row r="104">
          <cell r="B104" t="str">
            <v>Vykdant priemonę buvo pasiekta vertinimo kriterijų reikšmių 50 % ir daugiau</v>
          </cell>
          <cell r="C104">
            <v>4</v>
          </cell>
          <cell r="D104">
            <v>7</v>
          </cell>
        </row>
        <row r="105">
          <cell r="B105" t="str">
            <v>Vykdant priemonę buvo pasiekta daugiau vertinimo kriterijų reikšmių nei planuota</v>
          </cell>
          <cell r="C105">
            <v>8</v>
          </cell>
          <cell r="D105">
            <v>8</v>
          </cell>
        </row>
        <row r="106">
          <cell r="B106" t="str">
            <v>Priemonė neįvykdyta, t.y. nepasiekta planuota vertinimo kriterijų reikšmė</v>
          </cell>
          <cell r="C106">
            <v>0</v>
          </cell>
          <cell r="D106">
            <v>0</v>
          </cell>
        </row>
        <row r="107">
          <cell r="B107" t="str">
            <v>Iš viso programų priemonių</v>
          </cell>
          <cell r="C107">
            <v>25</v>
          </cell>
          <cell r="D107">
            <v>26</v>
          </cell>
        </row>
        <row r="112">
          <cell r="C112">
            <v>2023</v>
          </cell>
          <cell r="D112">
            <v>2024</v>
          </cell>
        </row>
        <row r="113">
          <cell r="B113" t="str">
            <v>Priemonė buvo įvykdyta pagal planą</v>
          </cell>
          <cell r="C113">
            <v>36</v>
          </cell>
          <cell r="D113">
            <v>35</v>
          </cell>
        </row>
        <row r="114">
          <cell r="B114" t="str">
            <v>Vykdant priemonę buvo pasiekta vertinimo kriterijų reikšmių mažiau nei 50 %</v>
          </cell>
          <cell r="C114">
            <v>0</v>
          </cell>
          <cell r="D114">
            <v>1</v>
          </cell>
        </row>
        <row r="115">
          <cell r="B115" t="str">
            <v>Vykdant priemonę buvo pasiekta vertinimo kriterijų reikšmių 50 % ir daugiau</v>
          </cell>
          <cell r="C115">
            <v>5</v>
          </cell>
          <cell r="D115">
            <v>3</v>
          </cell>
        </row>
        <row r="116">
          <cell r="B116" t="str">
            <v>Vykdant priemonę buvo pasiekta daugiau vertinimo kriterijų reikšmių nei planuota</v>
          </cell>
          <cell r="C116">
            <v>2</v>
          </cell>
          <cell r="D116">
            <v>5</v>
          </cell>
        </row>
        <row r="117">
          <cell r="B117" t="str">
            <v>Priemonė neįvykdyta, t.y. nepasiekta planuota vertinimo kriterijų reikšmė</v>
          </cell>
          <cell r="C117">
            <v>1</v>
          </cell>
          <cell r="D117">
            <v>0</v>
          </cell>
        </row>
        <row r="118">
          <cell r="B118" t="str">
            <v>Iš viso programų priemonių</v>
          </cell>
          <cell r="C118">
            <v>44</v>
          </cell>
          <cell r="D118">
            <v>44</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991"/>
  <sheetViews>
    <sheetView tabSelected="1" zoomScale="90" zoomScaleNormal="90" workbookViewId="0">
      <selection activeCell="S1" sqref="S1"/>
    </sheetView>
  </sheetViews>
  <sheetFormatPr defaultColWidth="9.140625" defaultRowHeight="15" outlineLevelCol="1" x14ac:dyDescent="0.25"/>
  <cols>
    <col min="1" max="1" width="12.42578125" style="1" customWidth="1"/>
    <col min="2" max="2" width="24" style="44" customWidth="1"/>
    <col min="3" max="3" width="9.28515625" style="1" customWidth="1"/>
    <col min="4" max="4" width="8.7109375" style="1" customWidth="1"/>
    <col min="5" max="5" width="8.5703125" style="1" customWidth="1"/>
    <col min="6" max="6" width="10.140625" style="1" customWidth="1"/>
    <col min="7" max="7" width="8.28515625" style="1" customWidth="1"/>
    <col min="8" max="8" width="8.7109375" style="1" customWidth="1"/>
    <col min="9" max="9" width="8.7109375" style="257" customWidth="1"/>
    <col min="10" max="10" width="18.7109375" style="44" customWidth="1"/>
    <col min="11" max="11" width="7" style="1" customWidth="1"/>
    <col min="12" max="12" width="10" style="92" customWidth="1"/>
    <col min="13" max="13" width="9.28515625" style="92" customWidth="1"/>
    <col min="14" max="14" width="5.7109375" style="1" hidden="1" customWidth="1" outlineLevel="1"/>
    <col min="15" max="15" width="6.85546875" style="1" hidden="1" customWidth="1" outlineLevel="1"/>
    <col min="16" max="16" width="5.7109375" style="1" hidden="1" customWidth="1" outlineLevel="1"/>
    <col min="17" max="17" width="6.85546875" style="1" hidden="1" customWidth="1" outlineLevel="1"/>
    <col min="18" max="18" width="50.5703125" style="44" customWidth="1" collapsed="1"/>
    <col min="19" max="19" width="47.7109375" style="44" customWidth="1"/>
    <col min="20" max="20" width="13" style="1" customWidth="1"/>
    <col min="21" max="21" width="9.140625" style="1"/>
    <col min="22" max="22" width="66.5703125" style="1" customWidth="1"/>
    <col min="23" max="23" width="20.140625" style="1" customWidth="1"/>
    <col min="24" max="16384" width="9.140625" style="1"/>
  </cols>
  <sheetData>
    <row r="1" spans="1:23" s="3" customFormat="1" ht="30" x14ac:dyDescent="0.25">
      <c r="S1" s="44" t="s">
        <v>1948</v>
      </c>
      <c r="T1" s="252"/>
    </row>
    <row r="2" spans="1:23" s="2" customFormat="1" x14ac:dyDescent="0.25">
      <c r="T2" s="92"/>
    </row>
    <row r="4" spans="1:23" x14ac:dyDescent="0.25">
      <c r="A4" s="427" t="s">
        <v>1947</v>
      </c>
      <c r="B4" s="427"/>
      <c r="C4" s="427"/>
      <c r="D4" s="427"/>
      <c r="E4" s="427"/>
      <c r="F4" s="427"/>
      <c r="G4" s="427"/>
      <c r="H4" s="427"/>
      <c r="I4" s="427"/>
      <c r="J4" s="427"/>
      <c r="K4" s="427"/>
      <c r="L4" s="427"/>
      <c r="M4" s="427"/>
      <c r="N4" s="427"/>
      <c r="O4" s="427"/>
      <c r="P4" s="427"/>
      <c r="Q4" s="427"/>
      <c r="R4" s="427"/>
      <c r="S4" s="427"/>
    </row>
    <row r="5" spans="1:23" ht="15.75" thickBot="1" x14ac:dyDescent="0.3">
      <c r="J5" s="56"/>
      <c r="S5" s="291" t="s">
        <v>1946</v>
      </c>
    </row>
    <row r="6" spans="1:23" ht="51" customHeight="1" x14ac:dyDescent="0.25">
      <c r="A6" s="428" t="s">
        <v>0</v>
      </c>
      <c r="B6" s="431" t="s">
        <v>1</v>
      </c>
      <c r="C6" s="434" t="s">
        <v>2</v>
      </c>
      <c r="D6" s="431" t="s">
        <v>3</v>
      </c>
      <c r="E6" s="439"/>
      <c r="F6" s="431" t="s">
        <v>4</v>
      </c>
      <c r="G6" s="431" t="s">
        <v>5</v>
      </c>
      <c r="H6" s="439"/>
      <c r="I6" s="443" t="s">
        <v>1639</v>
      </c>
      <c r="J6" s="440" t="s">
        <v>6</v>
      </c>
      <c r="K6" s="441"/>
      <c r="L6" s="441"/>
      <c r="M6" s="441"/>
      <c r="N6" s="441"/>
      <c r="O6" s="441"/>
      <c r="P6" s="441"/>
      <c r="Q6" s="441"/>
      <c r="R6" s="441"/>
      <c r="S6" s="442"/>
    </row>
    <row r="7" spans="1:23" x14ac:dyDescent="0.25">
      <c r="A7" s="429"/>
      <c r="B7" s="432"/>
      <c r="C7" s="435"/>
      <c r="D7" s="432" t="s">
        <v>7</v>
      </c>
      <c r="E7" s="432" t="s">
        <v>8</v>
      </c>
      <c r="F7" s="432"/>
      <c r="G7" s="432" t="s">
        <v>7</v>
      </c>
      <c r="H7" s="432" t="s">
        <v>8</v>
      </c>
      <c r="I7" s="444"/>
      <c r="J7" s="432" t="s">
        <v>9</v>
      </c>
      <c r="K7" s="435" t="s">
        <v>10</v>
      </c>
      <c r="L7" s="435">
        <v>2024</v>
      </c>
      <c r="M7" s="446"/>
      <c r="N7" s="435" t="s">
        <v>11</v>
      </c>
      <c r="O7" s="446"/>
      <c r="P7" s="435" t="s">
        <v>12</v>
      </c>
      <c r="Q7" s="446"/>
      <c r="R7" s="432" t="s">
        <v>13</v>
      </c>
      <c r="S7" s="437" t="s">
        <v>14</v>
      </c>
    </row>
    <row r="8" spans="1:23" ht="15.75" thickBot="1" x14ac:dyDescent="0.3">
      <c r="A8" s="430"/>
      <c r="B8" s="433"/>
      <c r="C8" s="436"/>
      <c r="D8" s="433"/>
      <c r="E8" s="433"/>
      <c r="F8" s="433"/>
      <c r="G8" s="433"/>
      <c r="H8" s="433"/>
      <c r="I8" s="445"/>
      <c r="J8" s="433"/>
      <c r="K8" s="436"/>
      <c r="L8" s="4" t="s">
        <v>15</v>
      </c>
      <c r="M8" s="4" t="s">
        <v>16</v>
      </c>
      <c r="N8" s="4" t="s">
        <v>15</v>
      </c>
      <c r="O8" s="4" t="s">
        <v>16</v>
      </c>
      <c r="P8" s="4" t="s">
        <v>15</v>
      </c>
      <c r="Q8" s="4" t="s">
        <v>16</v>
      </c>
      <c r="R8" s="433"/>
      <c r="S8" s="438"/>
    </row>
    <row r="9" spans="1:23" ht="32.25" thickBot="1" x14ac:dyDescent="0.3">
      <c r="A9" s="5" t="s">
        <v>17</v>
      </c>
      <c r="B9" s="39" t="s">
        <v>18</v>
      </c>
      <c r="C9" s="6"/>
      <c r="D9" s="7">
        <f>SUM(D10:D10)</f>
        <v>1740.3</v>
      </c>
      <c r="E9" s="7">
        <f>SUM(E10:E10)</f>
        <v>1740.3</v>
      </c>
      <c r="F9" s="7">
        <f>SUM(F10:F10)</f>
        <v>1004.2</v>
      </c>
      <c r="G9" s="7">
        <f>SUM(G10:G10)</f>
        <v>736.19999999999993</v>
      </c>
      <c r="H9" s="7">
        <f>SUM(H10:H10)</f>
        <v>736.19999999999993</v>
      </c>
      <c r="I9" s="258">
        <f>SUM(F9/E9)</f>
        <v>0.57702694937654431</v>
      </c>
      <c r="J9" s="452"/>
      <c r="K9" s="453"/>
      <c r="L9" s="453"/>
      <c r="M9" s="453"/>
      <c r="N9" s="453"/>
      <c r="O9" s="453"/>
      <c r="P9" s="453"/>
      <c r="Q9" s="453"/>
      <c r="R9" s="453"/>
      <c r="S9" s="454"/>
      <c r="U9" s="240"/>
      <c r="V9" s="241" t="s">
        <v>1</v>
      </c>
      <c r="W9" s="251" t="s">
        <v>1936</v>
      </c>
    </row>
    <row r="10" spans="1:23" ht="77.25" customHeight="1" thickBot="1" x14ac:dyDescent="0.3">
      <c r="A10" s="8" t="s">
        <v>19</v>
      </c>
      <c r="B10" s="40" t="s">
        <v>20</v>
      </c>
      <c r="C10" s="9"/>
      <c r="D10" s="10">
        <f>D11+D30+D48+D54</f>
        <v>1740.3</v>
      </c>
      <c r="E10" s="10">
        <f>E11+E30+E48+E54</f>
        <v>1740.3</v>
      </c>
      <c r="F10" s="10">
        <f>F11+F30+F48+F54</f>
        <v>1004.2</v>
      </c>
      <c r="G10" s="10">
        <f>G11+G30+G48+G54+0.1</f>
        <v>736.19999999999993</v>
      </c>
      <c r="H10" s="10">
        <f>H11+H30+H48+H54+0.1</f>
        <v>736.19999999999993</v>
      </c>
      <c r="I10" s="259">
        <f>SUM(F10/E10)</f>
        <v>0.57702694937654431</v>
      </c>
      <c r="J10" s="47" t="s">
        <v>21</v>
      </c>
      <c r="K10" s="11" t="s">
        <v>22</v>
      </c>
      <c r="L10" s="11">
        <v>91</v>
      </c>
      <c r="M10" s="93">
        <v>60</v>
      </c>
      <c r="N10" s="12"/>
      <c r="O10" s="12"/>
      <c r="P10" s="12"/>
      <c r="Q10" s="12"/>
      <c r="R10" s="370"/>
      <c r="S10" s="371"/>
      <c r="U10" s="242"/>
      <c r="V10" s="243" t="s">
        <v>1930</v>
      </c>
      <c r="W10" s="244">
        <v>1</v>
      </c>
    </row>
    <row r="11" spans="1:23" ht="42.75" customHeight="1" thickBot="1" x14ac:dyDescent="0.3">
      <c r="A11" s="13" t="s">
        <v>24</v>
      </c>
      <c r="B11" s="41" t="s">
        <v>25</v>
      </c>
      <c r="C11" s="14"/>
      <c r="D11" s="15">
        <f>D12+D15+D26+D28+D29</f>
        <v>374.8</v>
      </c>
      <c r="E11" s="15">
        <f>E12+E15+E26+E28+E29</f>
        <v>374.8</v>
      </c>
      <c r="F11" s="15">
        <f>F12+F15+F26+F28+F29</f>
        <v>161.80000000000001</v>
      </c>
      <c r="G11" s="15">
        <f>G12+G15+G26+G28+G29</f>
        <v>213</v>
      </c>
      <c r="H11" s="15">
        <f>H12+H15+H26+H28+H29</f>
        <v>213</v>
      </c>
      <c r="I11" s="260">
        <f>SUM(F11/E11)</f>
        <v>0.43169690501600855</v>
      </c>
      <c r="J11" s="329"/>
      <c r="K11" s="330"/>
      <c r="L11" s="330"/>
      <c r="M11" s="330"/>
      <c r="N11" s="330"/>
      <c r="O11" s="330"/>
      <c r="P11" s="330"/>
      <c r="Q11" s="330"/>
      <c r="R11" s="330"/>
      <c r="S11" s="331"/>
      <c r="U11" s="249"/>
      <c r="V11" s="243" t="s">
        <v>1931</v>
      </c>
      <c r="W11" s="244">
        <v>1</v>
      </c>
    </row>
    <row r="12" spans="1:23" ht="65.25" customHeight="1" x14ac:dyDescent="0.25">
      <c r="A12" s="306" t="s">
        <v>26</v>
      </c>
      <c r="B12" s="308" t="s">
        <v>27</v>
      </c>
      <c r="C12" s="17"/>
      <c r="D12" s="18">
        <f>SUM(D13:D14)</f>
        <v>100</v>
      </c>
      <c r="E12" s="18">
        <f>SUM(E13:E14)</f>
        <v>100</v>
      </c>
      <c r="F12" s="18">
        <f>SUM(F13:F14)</f>
        <v>34.700000000000003</v>
      </c>
      <c r="G12" s="18">
        <f>SUM(G13:G14)</f>
        <v>65.3</v>
      </c>
      <c r="H12" s="18">
        <f>SUM(H13:H14)</f>
        <v>65.3</v>
      </c>
      <c r="I12" s="261">
        <f>SUM(F12/E12)</f>
        <v>0.34700000000000003</v>
      </c>
      <c r="J12" s="48" t="s">
        <v>28</v>
      </c>
      <c r="K12" s="19" t="s">
        <v>29</v>
      </c>
      <c r="L12" s="19">
        <v>80</v>
      </c>
      <c r="M12" s="144">
        <v>40</v>
      </c>
      <c r="N12" s="20"/>
      <c r="O12" s="20"/>
      <c r="P12" s="20"/>
      <c r="Q12" s="20"/>
      <c r="R12" s="48" t="s">
        <v>1730</v>
      </c>
      <c r="S12" s="52" t="s">
        <v>1731</v>
      </c>
      <c r="U12" s="245"/>
      <c r="V12" s="243" t="s">
        <v>1932</v>
      </c>
      <c r="W12" s="246">
        <v>4</v>
      </c>
    </row>
    <row r="13" spans="1:23" ht="138" customHeight="1" x14ac:dyDescent="0.25">
      <c r="A13" s="406"/>
      <c r="B13" s="310"/>
      <c r="C13" s="22" t="s">
        <v>30</v>
      </c>
      <c r="D13" s="23">
        <v>34.700000000000003</v>
      </c>
      <c r="E13" s="23">
        <v>34.700000000000003</v>
      </c>
      <c r="F13" s="23">
        <v>34.700000000000003</v>
      </c>
      <c r="G13" s="23"/>
      <c r="H13" s="54"/>
      <c r="I13" s="262">
        <f t="shared" ref="I13:I28" si="0">SUM(F13/E13)</f>
        <v>1</v>
      </c>
      <c r="J13" s="333" t="s">
        <v>31</v>
      </c>
      <c r="K13" s="334" t="s">
        <v>22</v>
      </c>
      <c r="L13" s="334">
        <v>1</v>
      </c>
      <c r="M13" s="353">
        <v>1</v>
      </c>
      <c r="N13" s="25"/>
      <c r="O13" s="25"/>
      <c r="P13" s="25"/>
      <c r="Q13" s="25"/>
      <c r="R13" s="338" t="s">
        <v>1758</v>
      </c>
      <c r="S13" s="363"/>
      <c r="U13" s="250"/>
      <c r="V13" s="243" t="s">
        <v>1933</v>
      </c>
      <c r="W13" s="246">
        <v>1</v>
      </c>
    </row>
    <row r="14" spans="1:23" ht="16.5" thickBot="1" x14ac:dyDescent="0.3">
      <c r="A14" s="307"/>
      <c r="B14" s="309"/>
      <c r="C14" s="22" t="s">
        <v>32</v>
      </c>
      <c r="D14" s="23">
        <v>65.3</v>
      </c>
      <c r="E14" s="23">
        <v>65.3</v>
      </c>
      <c r="F14" s="23"/>
      <c r="G14" s="23">
        <v>65.3</v>
      </c>
      <c r="H14" s="23">
        <v>65.3</v>
      </c>
      <c r="I14" s="263">
        <f t="shared" si="0"/>
        <v>0</v>
      </c>
      <c r="J14" s="316"/>
      <c r="K14" s="325"/>
      <c r="L14" s="325"/>
      <c r="M14" s="349"/>
      <c r="N14" s="25"/>
      <c r="O14" s="25"/>
      <c r="P14" s="25"/>
      <c r="Q14" s="25"/>
      <c r="R14" s="309"/>
      <c r="S14" s="319"/>
      <c r="U14" s="247"/>
      <c r="V14" s="243" t="s">
        <v>1934</v>
      </c>
      <c r="W14" s="246">
        <v>4</v>
      </c>
    </row>
    <row r="15" spans="1:23" ht="216.75" x14ac:dyDescent="0.25">
      <c r="A15" s="306" t="s">
        <v>33</v>
      </c>
      <c r="B15" s="308" t="s">
        <v>34</v>
      </c>
      <c r="C15" s="17"/>
      <c r="D15" s="18">
        <f>SUM(D16:D25)</f>
        <v>206.8</v>
      </c>
      <c r="E15" s="18">
        <f>SUM(E16:E25)</f>
        <v>206.8</v>
      </c>
      <c r="F15" s="18">
        <f>SUM(F16:F25)</f>
        <v>93.8</v>
      </c>
      <c r="G15" s="18">
        <f>SUM(G16:G25)</f>
        <v>113</v>
      </c>
      <c r="H15" s="18">
        <f>SUM(H16:H25)</f>
        <v>113</v>
      </c>
      <c r="I15" s="264">
        <f t="shared" si="0"/>
        <v>0.45357833655705992</v>
      </c>
      <c r="J15" s="48" t="s">
        <v>35</v>
      </c>
      <c r="K15" s="19" t="s">
        <v>22</v>
      </c>
      <c r="L15" s="19">
        <v>1</v>
      </c>
      <c r="M15" s="108">
        <v>5</v>
      </c>
      <c r="N15" s="20"/>
      <c r="O15" s="20"/>
      <c r="P15" s="20"/>
      <c r="Q15" s="20"/>
      <c r="R15" s="48" t="s">
        <v>1732</v>
      </c>
      <c r="S15" s="52" t="s">
        <v>1759</v>
      </c>
      <c r="U15" s="240"/>
      <c r="V15" s="248" t="s">
        <v>1935</v>
      </c>
      <c r="W15" s="246">
        <f>+SUM(W10:W14)</f>
        <v>11</v>
      </c>
    </row>
    <row r="16" spans="1:23" ht="78" customHeight="1" x14ac:dyDescent="0.25">
      <c r="A16" s="406"/>
      <c r="B16" s="310"/>
      <c r="C16" s="22" t="s">
        <v>30</v>
      </c>
      <c r="D16" s="23">
        <v>56.8</v>
      </c>
      <c r="E16" s="23">
        <v>56.8</v>
      </c>
      <c r="F16" s="23">
        <v>22.3</v>
      </c>
      <c r="G16" s="23">
        <v>34.5</v>
      </c>
      <c r="H16" s="23">
        <v>34.5</v>
      </c>
      <c r="I16" s="265">
        <f t="shared" si="0"/>
        <v>0.39260563380281693</v>
      </c>
      <c r="J16" s="49" t="s">
        <v>36</v>
      </c>
      <c r="K16" s="24" t="s">
        <v>22</v>
      </c>
      <c r="L16" s="24">
        <v>1</v>
      </c>
      <c r="M16" s="215">
        <v>0</v>
      </c>
      <c r="N16" s="25"/>
      <c r="O16" s="25"/>
      <c r="P16" s="25"/>
      <c r="Q16" s="25"/>
      <c r="R16" s="145"/>
      <c r="S16" s="53" t="s">
        <v>1760</v>
      </c>
    </row>
    <row r="17" spans="1:19" ht="41.25" customHeight="1" x14ac:dyDescent="0.25">
      <c r="A17" s="406"/>
      <c r="B17" s="310"/>
      <c r="C17" s="22" t="s">
        <v>32</v>
      </c>
      <c r="D17" s="23">
        <v>150</v>
      </c>
      <c r="E17" s="23">
        <v>150</v>
      </c>
      <c r="F17" s="23">
        <v>71.5</v>
      </c>
      <c r="G17" s="23">
        <v>78.5</v>
      </c>
      <c r="H17" s="23">
        <v>78.5</v>
      </c>
      <c r="I17" s="266">
        <f t="shared" si="0"/>
        <v>0.47666666666666668</v>
      </c>
      <c r="J17" s="49" t="s">
        <v>37</v>
      </c>
      <c r="K17" s="24" t="s">
        <v>22</v>
      </c>
      <c r="L17" s="24">
        <v>1</v>
      </c>
      <c r="M17" s="104">
        <v>1</v>
      </c>
      <c r="N17" s="25"/>
      <c r="O17" s="25"/>
      <c r="P17" s="25"/>
      <c r="Q17" s="25"/>
      <c r="R17" s="49" t="s">
        <v>1761</v>
      </c>
      <c r="S17" s="156"/>
    </row>
    <row r="18" spans="1:19" ht="63.75" x14ac:dyDescent="0.25">
      <c r="A18" s="406"/>
      <c r="B18" s="310"/>
      <c r="C18" s="22"/>
      <c r="D18" s="23"/>
      <c r="E18" s="23"/>
      <c r="F18" s="23"/>
      <c r="G18" s="23"/>
      <c r="H18" s="54"/>
      <c r="I18" s="262"/>
      <c r="J18" s="55" t="s">
        <v>38</v>
      </c>
      <c r="K18" s="24" t="s">
        <v>22</v>
      </c>
      <c r="L18" s="24">
        <v>1</v>
      </c>
      <c r="M18" s="215">
        <v>0</v>
      </c>
      <c r="N18" s="25"/>
      <c r="O18" s="25"/>
      <c r="P18" s="25"/>
      <c r="Q18" s="25"/>
      <c r="R18" s="49" t="s">
        <v>1762</v>
      </c>
      <c r="S18" s="53" t="s">
        <v>1763</v>
      </c>
    </row>
    <row r="19" spans="1:19" ht="58.5" customHeight="1" x14ac:dyDescent="0.25">
      <c r="A19" s="406"/>
      <c r="B19" s="310"/>
      <c r="C19" s="22"/>
      <c r="D19" s="23"/>
      <c r="E19" s="23"/>
      <c r="F19" s="23"/>
      <c r="G19" s="23"/>
      <c r="H19" s="54"/>
      <c r="I19" s="262"/>
      <c r="J19" s="55" t="s">
        <v>39</v>
      </c>
      <c r="K19" s="24" t="s">
        <v>22</v>
      </c>
      <c r="L19" s="24">
        <v>1</v>
      </c>
      <c r="M19" s="104">
        <v>1</v>
      </c>
      <c r="N19" s="25"/>
      <c r="O19" s="25"/>
      <c r="P19" s="25"/>
      <c r="Q19" s="25"/>
      <c r="R19" s="49" t="s">
        <v>1641</v>
      </c>
      <c r="S19" s="143"/>
    </row>
    <row r="20" spans="1:19" ht="67.5" customHeight="1" x14ac:dyDescent="0.25">
      <c r="A20" s="406"/>
      <c r="B20" s="310"/>
      <c r="C20" s="22"/>
      <c r="D20" s="23"/>
      <c r="E20" s="23"/>
      <c r="F20" s="23"/>
      <c r="G20" s="23"/>
      <c r="H20" s="54"/>
      <c r="I20" s="262"/>
      <c r="J20" s="55" t="s">
        <v>40</v>
      </c>
      <c r="K20" s="24" t="s">
        <v>22</v>
      </c>
      <c r="L20" s="24">
        <v>1</v>
      </c>
      <c r="M20" s="104">
        <v>1</v>
      </c>
      <c r="N20" s="25"/>
      <c r="O20" s="25"/>
      <c r="P20" s="25"/>
      <c r="Q20" s="25"/>
      <c r="R20" s="49" t="s">
        <v>1764</v>
      </c>
      <c r="S20" s="53"/>
    </row>
    <row r="21" spans="1:19" ht="80.25" customHeight="1" x14ac:dyDescent="0.25">
      <c r="A21" s="406"/>
      <c r="B21" s="310"/>
      <c r="C21" s="22"/>
      <c r="D21" s="23"/>
      <c r="E21" s="23"/>
      <c r="F21" s="23"/>
      <c r="G21" s="23"/>
      <c r="H21" s="54"/>
      <c r="I21" s="262"/>
      <c r="J21" s="55" t="s">
        <v>41</v>
      </c>
      <c r="K21" s="24" t="s">
        <v>22</v>
      </c>
      <c r="L21" s="24">
        <v>1</v>
      </c>
      <c r="M21" s="215">
        <v>0</v>
      </c>
      <c r="N21" s="25"/>
      <c r="O21" s="25"/>
      <c r="P21" s="25"/>
      <c r="Q21" s="25"/>
      <c r="R21" s="49" t="s">
        <v>1765</v>
      </c>
      <c r="S21" s="53" t="s">
        <v>1766</v>
      </c>
    </row>
    <row r="22" spans="1:19" ht="69.75" customHeight="1" x14ac:dyDescent="0.25">
      <c r="A22" s="406"/>
      <c r="B22" s="310"/>
      <c r="C22" s="22"/>
      <c r="D22" s="23"/>
      <c r="E22" s="23"/>
      <c r="F22" s="23"/>
      <c r="G22" s="23"/>
      <c r="H22" s="54"/>
      <c r="I22" s="262"/>
      <c r="J22" s="55" t="s">
        <v>42</v>
      </c>
      <c r="K22" s="24" t="s">
        <v>22</v>
      </c>
      <c r="L22" s="24">
        <v>1</v>
      </c>
      <c r="M22" s="215">
        <v>0</v>
      </c>
      <c r="N22" s="25"/>
      <c r="O22" s="25"/>
      <c r="P22" s="25"/>
      <c r="Q22" s="25"/>
      <c r="R22" s="49" t="s">
        <v>1767</v>
      </c>
      <c r="S22" s="53" t="s">
        <v>1768</v>
      </c>
    </row>
    <row r="23" spans="1:19" ht="66.75" customHeight="1" x14ac:dyDescent="0.25">
      <c r="A23" s="406"/>
      <c r="B23" s="310"/>
      <c r="C23" s="22"/>
      <c r="D23" s="23"/>
      <c r="E23" s="23"/>
      <c r="F23" s="23"/>
      <c r="G23" s="23"/>
      <c r="H23" s="23"/>
      <c r="I23" s="266"/>
      <c r="J23" s="49" t="s">
        <v>43</v>
      </c>
      <c r="K23" s="24" t="s">
        <v>22</v>
      </c>
      <c r="L23" s="24">
        <v>1</v>
      </c>
      <c r="M23" s="215">
        <v>0</v>
      </c>
      <c r="N23" s="25"/>
      <c r="O23" s="25"/>
      <c r="P23" s="25"/>
      <c r="Q23" s="25"/>
      <c r="R23" s="49" t="s">
        <v>1769</v>
      </c>
      <c r="S23" s="53" t="s">
        <v>1770</v>
      </c>
    </row>
    <row r="24" spans="1:19" ht="76.5" x14ac:dyDescent="0.25">
      <c r="A24" s="406"/>
      <c r="B24" s="310"/>
      <c r="C24" s="22"/>
      <c r="D24" s="23"/>
      <c r="E24" s="23"/>
      <c r="F24" s="23"/>
      <c r="G24" s="23"/>
      <c r="H24" s="54"/>
      <c r="I24" s="262"/>
      <c r="J24" s="55" t="s">
        <v>44</v>
      </c>
      <c r="K24" s="24" t="s">
        <v>22</v>
      </c>
      <c r="L24" s="24">
        <v>1</v>
      </c>
      <c r="M24" s="104">
        <v>1</v>
      </c>
      <c r="N24" s="25"/>
      <c r="O24" s="25"/>
      <c r="P24" s="25"/>
      <c r="Q24" s="25"/>
      <c r="R24" s="49" t="s">
        <v>1771</v>
      </c>
      <c r="S24" s="143"/>
    </row>
    <row r="25" spans="1:19" ht="39" thickBot="1" x14ac:dyDescent="0.3">
      <c r="A25" s="307"/>
      <c r="B25" s="309"/>
      <c r="C25" s="22"/>
      <c r="D25" s="23"/>
      <c r="E25" s="23"/>
      <c r="F25" s="23"/>
      <c r="G25" s="23"/>
      <c r="H25" s="23"/>
      <c r="I25" s="263"/>
      <c r="J25" s="49" t="s">
        <v>45</v>
      </c>
      <c r="K25" s="24" t="s">
        <v>22</v>
      </c>
      <c r="L25" s="24">
        <v>1</v>
      </c>
      <c r="M25" s="104">
        <v>1</v>
      </c>
      <c r="N25" s="25"/>
      <c r="O25" s="25"/>
      <c r="P25" s="25"/>
      <c r="Q25" s="25"/>
      <c r="R25" s="49" t="s">
        <v>1772</v>
      </c>
      <c r="S25" s="143"/>
    </row>
    <row r="26" spans="1:19" ht="65.25" customHeight="1" x14ac:dyDescent="0.25">
      <c r="A26" s="306" t="s">
        <v>46</v>
      </c>
      <c r="B26" s="308" t="s">
        <v>47</v>
      </c>
      <c r="C26" s="17" t="s">
        <v>32</v>
      </c>
      <c r="D26" s="18">
        <f>SUM(D27:D27)+5</f>
        <v>5</v>
      </c>
      <c r="E26" s="18">
        <f>SUM(E27:E27)+5</f>
        <v>5</v>
      </c>
      <c r="F26" s="18"/>
      <c r="G26" s="18">
        <f>SUM(G27:G27)+5</f>
        <v>5</v>
      </c>
      <c r="H26" s="18">
        <f>SUM(H27:H27)+5</f>
        <v>5</v>
      </c>
      <c r="I26" s="264">
        <f t="shared" si="0"/>
        <v>0</v>
      </c>
      <c r="J26" s="48" t="s">
        <v>48</v>
      </c>
      <c r="K26" s="19" t="s">
        <v>29</v>
      </c>
      <c r="L26" s="19">
        <v>100</v>
      </c>
      <c r="M26" s="106">
        <v>0</v>
      </c>
      <c r="N26" s="20"/>
      <c r="O26" s="20"/>
      <c r="P26" s="20"/>
      <c r="Q26" s="20"/>
      <c r="R26" s="297"/>
      <c r="S26" s="52" t="s">
        <v>1677</v>
      </c>
    </row>
    <row r="27" spans="1:19" ht="29.25" customHeight="1" thickBot="1" x14ac:dyDescent="0.3">
      <c r="A27" s="307"/>
      <c r="B27" s="309"/>
      <c r="C27" s="22"/>
      <c r="D27" s="23"/>
      <c r="E27" s="23"/>
      <c r="F27" s="23"/>
      <c r="G27" s="23"/>
      <c r="H27" s="23"/>
      <c r="I27" s="263"/>
      <c r="J27" s="49" t="s">
        <v>49</v>
      </c>
      <c r="K27" s="24" t="s">
        <v>22</v>
      </c>
      <c r="L27" s="24">
        <v>1</v>
      </c>
      <c r="M27" s="103">
        <v>0</v>
      </c>
      <c r="N27" s="25"/>
      <c r="O27" s="25"/>
      <c r="P27" s="25"/>
      <c r="Q27" s="25"/>
      <c r="R27" s="299"/>
      <c r="S27" s="53" t="s">
        <v>1773</v>
      </c>
    </row>
    <row r="28" spans="1:19" ht="105" customHeight="1" thickBot="1" x14ac:dyDescent="0.3">
      <c r="A28" s="16" t="s">
        <v>50</v>
      </c>
      <c r="B28" s="42" t="s">
        <v>51</v>
      </c>
      <c r="C28" s="17" t="s">
        <v>32</v>
      </c>
      <c r="D28" s="26">
        <v>63</v>
      </c>
      <c r="E28" s="26">
        <v>63</v>
      </c>
      <c r="F28" s="26">
        <v>33.299999999999997</v>
      </c>
      <c r="G28" s="26">
        <v>29.7</v>
      </c>
      <c r="H28" s="26">
        <v>29.7</v>
      </c>
      <c r="I28" s="267">
        <f t="shared" si="0"/>
        <v>0.52857142857142858</v>
      </c>
      <c r="J28" s="48" t="s">
        <v>52</v>
      </c>
      <c r="K28" s="19" t="s">
        <v>22</v>
      </c>
      <c r="L28" s="19">
        <v>90</v>
      </c>
      <c r="M28" s="108">
        <v>94</v>
      </c>
      <c r="N28" s="20"/>
      <c r="O28" s="20"/>
      <c r="P28" s="20"/>
      <c r="Q28" s="20"/>
      <c r="R28" s="48" t="s">
        <v>1774</v>
      </c>
      <c r="S28" s="115"/>
    </row>
    <row r="29" spans="1:19" ht="44.25" hidden="1" customHeight="1" thickBot="1" x14ac:dyDescent="0.3">
      <c r="A29" s="16" t="s">
        <v>53</v>
      </c>
      <c r="B29" s="42" t="s">
        <v>54</v>
      </c>
      <c r="C29" s="17" t="s">
        <v>55</v>
      </c>
      <c r="D29" s="26"/>
      <c r="E29" s="26"/>
      <c r="F29" s="26"/>
      <c r="G29" s="26"/>
      <c r="H29" s="26"/>
      <c r="I29" s="267"/>
      <c r="J29" s="48" t="s">
        <v>56</v>
      </c>
      <c r="K29" s="19" t="s">
        <v>57</v>
      </c>
      <c r="L29" s="19">
        <v>7</v>
      </c>
      <c r="M29" s="19">
        <v>0</v>
      </c>
      <c r="N29" s="20"/>
      <c r="O29" s="20"/>
      <c r="P29" s="20"/>
      <c r="Q29" s="20"/>
      <c r="R29" s="48"/>
      <c r="S29" s="52"/>
    </row>
    <row r="30" spans="1:19" ht="39" thickBot="1" x14ac:dyDescent="0.3">
      <c r="A30" s="13" t="s">
        <v>58</v>
      </c>
      <c r="B30" s="41" t="s">
        <v>59</v>
      </c>
      <c r="C30" s="14"/>
      <c r="D30" s="15">
        <f>D31+D34+D35</f>
        <v>1209.5</v>
      </c>
      <c r="E30" s="15">
        <f>E31+E34+E35</f>
        <v>1209.5</v>
      </c>
      <c r="F30" s="15">
        <f>F31+F34+F35</f>
        <v>708.90000000000009</v>
      </c>
      <c r="G30" s="15">
        <f>G31+G34+G35</f>
        <v>500.59999999999997</v>
      </c>
      <c r="H30" s="15">
        <f>H31+H34+H35</f>
        <v>500.59999999999997</v>
      </c>
      <c r="I30" s="260">
        <f>SUM(F30/E30)</f>
        <v>0.5861099627945433</v>
      </c>
      <c r="J30" s="329"/>
      <c r="K30" s="330"/>
      <c r="L30" s="330"/>
      <c r="M30" s="330"/>
      <c r="N30" s="330"/>
      <c r="O30" s="330"/>
      <c r="P30" s="330"/>
      <c r="Q30" s="330"/>
      <c r="R30" s="330"/>
      <c r="S30" s="331"/>
    </row>
    <row r="31" spans="1:19" ht="54" customHeight="1" x14ac:dyDescent="0.25">
      <c r="A31" s="306" t="s">
        <v>60</v>
      </c>
      <c r="B31" s="308" t="s">
        <v>61</v>
      </c>
      <c r="C31" s="17"/>
      <c r="D31" s="18">
        <f>SUM(D32:D33)</f>
        <v>220</v>
      </c>
      <c r="E31" s="18">
        <f>SUM(E32:E33)</f>
        <v>220</v>
      </c>
      <c r="F31" s="18">
        <f>SUM(F32:F33)</f>
        <v>18.2</v>
      </c>
      <c r="G31" s="18">
        <f>SUM(G32:G33)</f>
        <v>201.8</v>
      </c>
      <c r="H31" s="18">
        <f>SUM(H32:H33)</f>
        <v>201.8</v>
      </c>
      <c r="I31" s="261">
        <f>SUM(F31/E31)</f>
        <v>8.2727272727272719E-2</v>
      </c>
      <c r="J31" s="48" t="s">
        <v>62</v>
      </c>
      <c r="K31" s="19" t="s">
        <v>22</v>
      </c>
      <c r="L31" s="19">
        <v>1</v>
      </c>
      <c r="M31" s="141">
        <v>1</v>
      </c>
      <c r="N31" s="20"/>
      <c r="O31" s="20"/>
      <c r="P31" s="20"/>
      <c r="Q31" s="20"/>
      <c r="R31" s="146"/>
      <c r="S31" s="52"/>
    </row>
    <row r="32" spans="1:19" ht="42.75" customHeight="1" x14ac:dyDescent="0.25">
      <c r="A32" s="406"/>
      <c r="B32" s="310"/>
      <c r="C32" s="22" t="s">
        <v>32</v>
      </c>
      <c r="D32" s="23">
        <v>30</v>
      </c>
      <c r="E32" s="23">
        <v>30</v>
      </c>
      <c r="F32" s="23">
        <v>18.2</v>
      </c>
      <c r="G32" s="23">
        <v>11.8</v>
      </c>
      <c r="H32" s="54">
        <v>11.8</v>
      </c>
      <c r="I32" s="262">
        <f t="shared" ref="I32:I35" si="1">SUM(F32/E32)</f>
        <v>0.60666666666666669</v>
      </c>
      <c r="J32" s="55" t="s">
        <v>63</v>
      </c>
      <c r="K32" s="24" t="s">
        <v>29</v>
      </c>
      <c r="L32" s="24">
        <v>70</v>
      </c>
      <c r="M32" s="126">
        <v>0</v>
      </c>
      <c r="N32" s="25"/>
      <c r="O32" s="25"/>
      <c r="P32" s="25"/>
      <c r="Q32" s="25"/>
      <c r="R32" s="145"/>
      <c r="S32" s="53" t="s">
        <v>1775</v>
      </c>
    </row>
    <row r="33" spans="1:24" ht="143.25" customHeight="1" thickBot="1" x14ac:dyDescent="0.3">
      <c r="A33" s="406"/>
      <c r="B33" s="310"/>
      <c r="C33" s="162" t="s">
        <v>30</v>
      </c>
      <c r="D33" s="163">
        <v>190</v>
      </c>
      <c r="E33" s="163">
        <v>190</v>
      </c>
      <c r="F33" s="163"/>
      <c r="G33" s="163">
        <v>190</v>
      </c>
      <c r="H33" s="163">
        <v>190</v>
      </c>
      <c r="I33" s="266">
        <f t="shared" si="1"/>
        <v>0</v>
      </c>
      <c r="J33" s="151" t="s">
        <v>64</v>
      </c>
      <c r="K33" s="159" t="s">
        <v>22</v>
      </c>
      <c r="L33" s="159">
        <v>1</v>
      </c>
      <c r="M33" s="211">
        <v>0</v>
      </c>
      <c r="N33" s="164"/>
      <c r="O33" s="164"/>
      <c r="P33" s="164"/>
      <c r="Q33" s="164"/>
      <c r="R33" s="151" t="s">
        <v>1776</v>
      </c>
      <c r="S33" s="152" t="s">
        <v>1777</v>
      </c>
    </row>
    <row r="34" spans="1:24" ht="77.25" customHeight="1" thickBot="1" x14ac:dyDescent="0.3">
      <c r="A34" s="170" t="s">
        <v>65</v>
      </c>
      <c r="B34" s="171" t="s">
        <v>66</v>
      </c>
      <c r="C34" s="172" t="s">
        <v>32</v>
      </c>
      <c r="D34" s="173">
        <v>1</v>
      </c>
      <c r="E34" s="173">
        <v>1</v>
      </c>
      <c r="F34" s="173"/>
      <c r="G34" s="173">
        <v>1</v>
      </c>
      <c r="H34" s="173">
        <v>1</v>
      </c>
      <c r="I34" s="268">
        <f t="shared" si="1"/>
        <v>0</v>
      </c>
      <c r="J34" s="174" t="s">
        <v>67</v>
      </c>
      <c r="K34" s="175" t="s">
        <v>22</v>
      </c>
      <c r="L34" s="175">
        <v>1</v>
      </c>
      <c r="M34" s="213">
        <v>0</v>
      </c>
      <c r="N34" s="187"/>
      <c r="O34" s="187"/>
      <c r="P34" s="187"/>
      <c r="Q34" s="187"/>
      <c r="R34" s="174"/>
      <c r="S34" s="214" t="s">
        <v>1706</v>
      </c>
    </row>
    <row r="35" spans="1:24" ht="63" customHeight="1" x14ac:dyDescent="0.25">
      <c r="A35" s="406" t="s">
        <v>68</v>
      </c>
      <c r="B35" s="310" t="s">
        <v>69</v>
      </c>
      <c r="C35" s="167"/>
      <c r="D35" s="184">
        <f>D36+D37+D38+D44+D47</f>
        <v>988.5</v>
      </c>
      <c r="E35" s="184">
        <f>E36+E37+E38+E44+E47</f>
        <v>988.5</v>
      </c>
      <c r="F35" s="184">
        <f>F36+F37+F38+F44+F47</f>
        <v>690.7</v>
      </c>
      <c r="G35" s="184">
        <f>G36+G37+G38+G44+G47</f>
        <v>297.79999999999995</v>
      </c>
      <c r="H35" s="184">
        <f>H36+H37+H38+H44+H47</f>
        <v>297.79999999999995</v>
      </c>
      <c r="I35" s="263">
        <f t="shared" si="1"/>
        <v>0.69873545776428936</v>
      </c>
      <c r="J35" s="76" t="s">
        <v>70</v>
      </c>
      <c r="K35" s="77" t="s">
        <v>22</v>
      </c>
      <c r="L35" s="77">
        <v>6</v>
      </c>
      <c r="M35" s="212">
        <v>3</v>
      </c>
      <c r="N35" s="78"/>
      <c r="O35" s="78"/>
      <c r="P35" s="78"/>
      <c r="Q35" s="78"/>
      <c r="R35" s="76" t="s">
        <v>1722</v>
      </c>
      <c r="S35" s="72" t="s">
        <v>1724</v>
      </c>
    </row>
    <row r="36" spans="1:24" ht="42.75" customHeight="1" x14ac:dyDescent="0.25">
      <c r="A36" s="406"/>
      <c r="B36" s="310"/>
      <c r="C36" s="22"/>
      <c r="D36" s="23"/>
      <c r="E36" s="23"/>
      <c r="F36" s="23"/>
      <c r="G36" s="23"/>
      <c r="H36" s="23"/>
      <c r="I36" s="269"/>
      <c r="J36" s="49" t="s">
        <v>71</v>
      </c>
      <c r="K36" s="24" t="s">
        <v>22</v>
      </c>
      <c r="L36" s="24">
        <v>12</v>
      </c>
      <c r="M36" s="105">
        <v>2</v>
      </c>
      <c r="N36" s="25"/>
      <c r="O36" s="25"/>
      <c r="P36" s="25"/>
      <c r="Q36" s="25"/>
      <c r="R36" s="49" t="s">
        <v>1779</v>
      </c>
      <c r="S36" s="53" t="s">
        <v>1778</v>
      </c>
    </row>
    <row r="37" spans="1:24" ht="42" customHeight="1" thickBot="1" x14ac:dyDescent="0.3">
      <c r="A37" s="307"/>
      <c r="B37" s="309"/>
      <c r="C37" s="22"/>
      <c r="D37" s="23"/>
      <c r="E37" s="23"/>
      <c r="F37" s="23"/>
      <c r="G37" s="23"/>
      <c r="H37" s="23"/>
      <c r="I37" s="269"/>
      <c r="J37" s="49" t="s">
        <v>72</v>
      </c>
      <c r="K37" s="24" t="s">
        <v>22</v>
      </c>
      <c r="L37" s="24">
        <v>20</v>
      </c>
      <c r="M37" s="110">
        <v>21</v>
      </c>
      <c r="N37" s="25"/>
      <c r="O37" s="25"/>
      <c r="P37" s="25"/>
      <c r="Q37" s="25"/>
      <c r="R37" s="49"/>
      <c r="S37" s="53"/>
    </row>
    <row r="38" spans="1:24" ht="42" customHeight="1" x14ac:dyDescent="0.25">
      <c r="A38" s="306" t="s">
        <v>73</v>
      </c>
      <c r="B38" s="308" t="s">
        <v>74</v>
      </c>
      <c r="C38" s="17" t="s">
        <v>32</v>
      </c>
      <c r="D38" s="18">
        <f>SUM(D39:D43)+205</f>
        <v>205</v>
      </c>
      <c r="E38" s="18">
        <f>SUM(E39:E43)+205</f>
        <v>205</v>
      </c>
      <c r="F38" s="18">
        <f>SUM(F39:F43)+48.4</f>
        <v>48.4</v>
      </c>
      <c r="G38" s="18">
        <f>SUM(G39:G43)+156.6</f>
        <v>156.6</v>
      </c>
      <c r="H38" s="18">
        <f>SUM(H39:H43)+156.6</f>
        <v>156.6</v>
      </c>
      <c r="I38" s="267">
        <f t="shared" ref="I38" si="2">SUM(F38/E38)</f>
        <v>0.23609756097560974</v>
      </c>
      <c r="J38" s="48" t="s">
        <v>75</v>
      </c>
      <c r="K38" s="19" t="s">
        <v>22</v>
      </c>
      <c r="L38" s="19">
        <v>1</v>
      </c>
      <c r="M38" s="111">
        <v>1</v>
      </c>
      <c r="N38" s="20"/>
      <c r="O38" s="20"/>
      <c r="P38" s="20"/>
      <c r="Q38" s="20"/>
      <c r="R38" s="48" t="s">
        <v>1780</v>
      </c>
      <c r="S38" s="52"/>
    </row>
    <row r="39" spans="1:24" ht="45" customHeight="1" x14ac:dyDescent="0.25">
      <c r="A39" s="406"/>
      <c r="B39" s="310"/>
      <c r="C39" s="22"/>
      <c r="D39" s="23"/>
      <c r="E39" s="23"/>
      <c r="F39" s="23"/>
      <c r="G39" s="23"/>
      <c r="H39" s="23"/>
      <c r="I39" s="269"/>
      <c r="J39" s="49" t="s">
        <v>76</v>
      </c>
      <c r="K39" s="24" t="s">
        <v>22</v>
      </c>
      <c r="L39" s="24">
        <v>1</v>
      </c>
      <c r="M39" s="103">
        <v>0</v>
      </c>
      <c r="N39" s="25"/>
      <c r="O39" s="25"/>
      <c r="P39" s="25"/>
      <c r="Q39" s="25"/>
      <c r="R39" s="49"/>
      <c r="S39" s="53" t="s">
        <v>1723</v>
      </c>
    </row>
    <row r="40" spans="1:24" ht="66.75" customHeight="1" x14ac:dyDescent="0.25">
      <c r="A40" s="406"/>
      <c r="B40" s="310"/>
      <c r="C40" s="22"/>
      <c r="D40" s="23"/>
      <c r="E40" s="23"/>
      <c r="F40" s="23"/>
      <c r="G40" s="23"/>
      <c r="H40" s="23"/>
      <c r="I40" s="269"/>
      <c r="J40" s="49" t="s">
        <v>77</v>
      </c>
      <c r="K40" s="24" t="s">
        <v>22</v>
      </c>
      <c r="L40" s="24">
        <v>1</v>
      </c>
      <c r="M40" s="215">
        <v>0</v>
      </c>
      <c r="N40" s="25"/>
      <c r="O40" s="25"/>
      <c r="P40" s="25"/>
      <c r="Q40" s="25"/>
      <c r="R40" s="49"/>
      <c r="S40" s="53" t="s">
        <v>1706</v>
      </c>
    </row>
    <row r="41" spans="1:24" ht="45" customHeight="1" x14ac:dyDescent="0.25">
      <c r="A41" s="406"/>
      <c r="B41" s="310"/>
      <c r="C41" s="22"/>
      <c r="D41" s="23"/>
      <c r="E41" s="23"/>
      <c r="F41" s="23"/>
      <c r="G41" s="23"/>
      <c r="H41" s="23"/>
      <c r="I41" s="269"/>
      <c r="J41" s="49" t="s">
        <v>78</v>
      </c>
      <c r="K41" s="24" t="s">
        <v>22</v>
      </c>
      <c r="L41" s="24">
        <v>1</v>
      </c>
      <c r="M41" s="215">
        <v>0</v>
      </c>
      <c r="N41" s="25"/>
      <c r="O41" s="25"/>
      <c r="P41" s="25"/>
      <c r="Q41" s="25"/>
      <c r="R41" s="145"/>
      <c r="S41" s="53" t="s">
        <v>1678</v>
      </c>
    </row>
    <row r="42" spans="1:24" ht="90" customHeight="1" x14ac:dyDescent="0.25">
      <c r="A42" s="406"/>
      <c r="B42" s="310"/>
      <c r="C42" s="22"/>
      <c r="D42" s="23"/>
      <c r="E42" s="23"/>
      <c r="F42" s="23"/>
      <c r="G42" s="23"/>
      <c r="H42" s="23"/>
      <c r="I42" s="269"/>
      <c r="J42" s="49" t="s">
        <v>79</v>
      </c>
      <c r="K42" s="24" t="s">
        <v>22</v>
      </c>
      <c r="L42" s="24">
        <v>1</v>
      </c>
      <c r="M42" s="104">
        <v>1</v>
      </c>
      <c r="N42" s="25"/>
      <c r="O42" s="25"/>
      <c r="P42" s="25"/>
      <c r="Q42" s="25"/>
      <c r="R42" s="49" t="s">
        <v>1781</v>
      </c>
      <c r="S42" s="53"/>
    </row>
    <row r="43" spans="1:24" ht="81.75" customHeight="1" thickBot="1" x14ac:dyDescent="0.3">
      <c r="A43" s="406"/>
      <c r="B43" s="310"/>
      <c r="C43" s="162"/>
      <c r="D43" s="163"/>
      <c r="E43" s="163"/>
      <c r="F43" s="163"/>
      <c r="G43" s="163"/>
      <c r="H43" s="163"/>
      <c r="I43" s="270"/>
      <c r="J43" s="151" t="s">
        <v>80</v>
      </c>
      <c r="K43" s="159" t="s">
        <v>22</v>
      </c>
      <c r="L43" s="159">
        <v>1</v>
      </c>
      <c r="M43" s="160">
        <v>1</v>
      </c>
      <c r="N43" s="164"/>
      <c r="O43" s="164"/>
      <c r="P43" s="164"/>
      <c r="Q43" s="164"/>
      <c r="R43" s="216" t="s">
        <v>1782</v>
      </c>
      <c r="S43" s="152"/>
    </row>
    <row r="44" spans="1:24" ht="27" customHeight="1" x14ac:dyDescent="0.25">
      <c r="A44" s="410" t="s">
        <v>81</v>
      </c>
      <c r="B44" s="398" t="s">
        <v>82</v>
      </c>
      <c r="C44" s="194"/>
      <c r="D44" s="195">
        <f>SUM(D45:D46)</f>
        <v>433.5</v>
      </c>
      <c r="E44" s="195">
        <f>SUM(E45:E46)</f>
        <v>433.5</v>
      </c>
      <c r="F44" s="195">
        <f>SUM(F45:F46)</f>
        <v>292.3</v>
      </c>
      <c r="G44" s="195">
        <f>SUM(G45:G46)</f>
        <v>141.19999999999999</v>
      </c>
      <c r="H44" s="195">
        <f>SUM(H45:H46)</f>
        <v>141.19999999999999</v>
      </c>
      <c r="I44" s="271">
        <f t="shared" ref="I44:I47" si="3">SUM(F44/E44)</f>
        <v>0.67427912341407159</v>
      </c>
      <c r="J44" s="383" t="s">
        <v>83</v>
      </c>
      <c r="K44" s="385" t="s">
        <v>22</v>
      </c>
      <c r="L44" s="385">
        <v>12</v>
      </c>
      <c r="M44" s="387">
        <v>2</v>
      </c>
      <c r="N44" s="196"/>
      <c r="O44" s="196"/>
      <c r="P44" s="196"/>
      <c r="Q44" s="196"/>
      <c r="R44" s="398" t="s">
        <v>1779</v>
      </c>
      <c r="S44" s="395" t="s">
        <v>1783</v>
      </c>
      <c r="V44" s="87"/>
      <c r="W44"/>
    </row>
    <row r="45" spans="1:24" x14ac:dyDescent="0.25">
      <c r="A45" s="411"/>
      <c r="B45" s="310"/>
      <c r="C45" s="22" t="s">
        <v>30</v>
      </c>
      <c r="D45" s="23">
        <v>20.6</v>
      </c>
      <c r="E45" s="23">
        <v>20.6</v>
      </c>
      <c r="F45" s="23">
        <v>20.6</v>
      </c>
      <c r="G45" s="23"/>
      <c r="H45" s="54"/>
      <c r="I45" s="262">
        <f t="shared" si="3"/>
        <v>1</v>
      </c>
      <c r="J45" s="315"/>
      <c r="K45" s="324"/>
      <c r="L45" s="324"/>
      <c r="M45" s="388"/>
      <c r="N45" s="25"/>
      <c r="O45" s="25"/>
      <c r="P45" s="25"/>
      <c r="Q45" s="25"/>
      <c r="R45" s="310"/>
      <c r="S45" s="396"/>
      <c r="V45" s="88"/>
      <c r="W45" s="89"/>
    </row>
    <row r="46" spans="1:24" ht="15.75" thickBot="1" x14ac:dyDescent="0.3">
      <c r="A46" s="412"/>
      <c r="B46" s="399"/>
      <c r="C46" s="197" t="s">
        <v>32</v>
      </c>
      <c r="D46" s="198">
        <v>412.9</v>
      </c>
      <c r="E46" s="198">
        <v>412.9</v>
      </c>
      <c r="F46" s="198">
        <v>271.7</v>
      </c>
      <c r="G46" s="198">
        <v>141.19999999999999</v>
      </c>
      <c r="H46" s="198">
        <v>141.19999999999999</v>
      </c>
      <c r="I46" s="272">
        <f t="shared" si="3"/>
        <v>0.65802857834826833</v>
      </c>
      <c r="J46" s="384"/>
      <c r="K46" s="386"/>
      <c r="L46" s="386"/>
      <c r="M46" s="389"/>
      <c r="N46" s="199"/>
      <c r="O46" s="199"/>
      <c r="P46" s="199"/>
      <c r="Q46" s="199"/>
      <c r="R46" s="399"/>
      <c r="S46" s="397"/>
      <c r="V46" s="88"/>
      <c r="W46" s="89"/>
      <c r="X46" s="90"/>
    </row>
    <row r="47" spans="1:24" ht="384" customHeight="1" thickBot="1" x14ac:dyDescent="0.3">
      <c r="A47" s="165" t="s">
        <v>84</v>
      </c>
      <c r="B47" s="166" t="s">
        <v>85</v>
      </c>
      <c r="C47" s="167" t="s">
        <v>32</v>
      </c>
      <c r="D47" s="168">
        <v>350</v>
      </c>
      <c r="E47" s="168">
        <v>350</v>
      </c>
      <c r="F47" s="168">
        <v>350</v>
      </c>
      <c r="G47" s="168"/>
      <c r="H47" s="168"/>
      <c r="I47" s="263">
        <f t="shared" si="3"/>
        <v>1</v>
      </c>
      <c r="J47" s="76" t="s">
        <v>86</v>
      </c>
      <c r="K47" s="77" t="s">
        <v>22</v>
      </c>
      <c r="L47" s="77">
        <v>20</v>
      </c>
      <c r="M47" s="218">
        <v>21</v>
      </c>
      <c r="N47" s="78"/>
      <c r="O47" s="78"/>
      <c r="P47" s="78"/>
      <c r="Q47" s="78"/>
      <c r="R47" s="76" t="s">
        <v>1734</v>
      </c>
      <c r="S47" s="72"/>
      <c r="V47" s="88"/>
      <c r="W47" s="91"/>
      <c r="X47" s="90"/>
    </row>
    <row r="48" spans="1:24" ht="26.25" thickBot="1" x14ac:dyDescent="0.3">
      <c r="A48" s="13" t="s">
        <v>87</v>
      </c>
      <c r="B48" s="41" t="s">
        <v>88</v>
      </c>
      <c r="C48" s="14"/>
      <c r="D48" s="15">
        <f>D49+D53</f>
        <v>125.8</v>
      </c>
      <c r="E48" s="15">
        <f>E49+E53</f>
        <v>125.8</v>
      </c>
      <c r="F48" s="15">
        <f>F49+F53</f>
        <v>116.4</v>
      </c>
      <c r="G48" s="15">
        <f>G49+G53</f>
        <v>9.4</v>
      </c>
      <c r="H48" s="15">
        <f>H49+H53</f>
        <v>9.4</v>
      </c>
      <c r="I48" s="260">
        <f>SUM(F48/E48)</f>
        <v>0.92527821939586652</v>
      </c>
      <c r="J48" s="329"/>
      <c r="K48" s="330"/>
      <c r="L48" s="330"/>
      <c r="M48" s="330"/>
      <c r="N48" s="330"/>
      <c r="O48" s="330"/>
      <c r="P48" s="330"/>
      <c r="Q48" s="330"/>
      <c r="R48" s="330"/>
      <c r="S48" s="331"/>
      <c r="V48" s="88"/>
      <c r="W48" s="91"/>
      <c r="X48" s="90"/>
    </row>
    <row r="49" spans="1:24" ht="33" customHeight="1" x14ac:dyDescent="0.25">
      <c r="A49" s="306" t="s">
        <v>89</v>
      </c>
      <c r="B49" s="308" t="s">
        <v>90</v>
      </c>
      <c r="C49" s="17"/>
      <c r="D49" s="18">
        <f>SUM(D50:D52)</f>
        <v>120.8</v>
      </c>
      <c r="E49" s="18">
        <f>SUM(E50:E52)</f>
        <v>120.8</v>
      </c>
      <c r="F49" s="18">
        <f>SUM(F50:F52)</f>
        <v>116.4</v>
      </c>
      <c r="G49" s="18">
        <f>SUM(G50:G52)</f>
        <v>4.4000000000000004</v>
      </c>
      <c r="H49" s="18">
        <f>SUM(H50:H52)</f>
        <v>4.4000000000000004</v>
      </c>
      <c r="I49" s="261">
        <f t="shared" ref="I49:I60" si="4">SUM(F49/E49)</f>
        <v>0.96357615894039739</v>
      </c>
      <c r="J49" s="48" t="s">
        <v>91</v>
      </c>
      <c r="K49" s="19" t="s">
        <v>22</v>
      </c>
      <c r="L49" s="19">
        <v>1</v>
      </c>
      <c r="M49" s="111">
        <v>1</v>
      </c>
      <c r="N49" s="20" t="s">
        <v>23</v>
      </c>
      <c r="O49" s="20" t="s">
        <v>23</v>
      </c>
      <c r="P49" s="20" t="s">
        <v>23</v>
      </c>
      <c r="Q49" s="20" t="s">
        <v>23</v>
      </c>
      <c r="R49" s="48"/>
      <c r="S49" s="52"/>
      <c r="V49" s="88"/>
      <c r="W49" s="91"/>
      <c r="X49" s="90"/>
    </row>
    <row r="50" spans="1:24" ht="117" customHeight="1" x14ac:dyDescent="0.25">
      <c r="A50" s="406"/>
      <c r="B50" s="310"/>
      <c r="C50" s="22" t="s">
        <v>30</v>
      </c>
      <c r="D50" s="23">
        <v>90.8</v>
      </c>
      <c r="E50" s="23">
        <v>90.8</v>
      </c>
      <c r="F50" s="23">
        <v>90.8</v>
      </c>
      <c r="G50" s="23"/>
      <c r="H50" s="54"/>
      <c r="I50" s="262">
        <f t="shared" si="4"/>
        <v>1</v>
      </c>
      <c r="J50" s="55" t="s">
        <v>92</v>
      </c>
      <c r="K50" s="24" t="s">
        <v>22</v>
      </c>
      <c r="L50" s="24">
        <v>1</v>
      </c>
      <c r="M50" s="103">
        <v>0</v>
      </c>
      <c r="N50" s="25"/>
      <c r="O50" s="25"/>
      <c r="P50" s="25"/>
      <c r="Q50" s="25"/>
      <c r="R50" s="145"/>
      <c r="S50" s="53" t="s">
        <v>1784</v>
      </c>
      <c r="V50" s="88"/>
      <c r="W50" s="91"/>
      <c r="X50" s="90"/>
    </row>
    <row r="51" spans="1:24" ht="90" customHeight="1" x14ac:dyDescent="0.25">
      <c r="A51" s="406"/>
      <c r="B51" s="310"/>
      <c r="C51" s="22" t="s">
        <v>32</v>
      </c>
      <c r="D51" s="23">
        <v>30</v>
      </c>
      <c r="E51" s="23">
        <v>30</v>
      </c>
      <c r="F51" s="23">
        <v>25.6</v>
      </c>
      <c r="G51" s="23">
        <v>4.4000000000000004</v>
      </c>
      <c r="H51" s="54">
        <v>4.4000000000000004</v>
      </c>
      <c r="I51" s="262">
        <f t="shared" si="4"/>
        <v>0.85333333333333339</v>
      </c>
      <c r="J51" s="55" t="s">
        <v>93</v>
      </c>
      <c r="K51" s="24" t="s">
        <v>22</v>
      </c>
      <c r="L51" s="24">
        <v>1</v>
      </c>
      <c r="M51" s="104">
        <v>1</v>
      </c>
      <c r="N51" s="25"/>
      <c r="O51" s="25"/>
      <c r="P51" s="25"/>
      <c r="Q51" s="25"/>
      <c r="R51" s="145"/>
      <c r="S51" s="53"/>
      <c r="V51" s="88"/>
      <c r="W51" s="89"/>
    </row>
    <row r="52" spans="1:24" ht="68.25" customHeight="1" thickBot="1" x14ac:dyDescent="0.3">
      <c r="A52" s="307"/>
      <c r="B52" s="309"/>
      <c r="C52" s="22"/>
      <c r="D52" s="23"/>
      <c r="E52" s="23"/>
      <c r="F52" s="23"/>
      <c r="G52" s="23"/>
      <c r="H52" s="23"/>
      <c r="I52" s="263"/>
      <c r="J52" s="49" t="s">
        <v>94</v>
      </c>
      <c r="K52" s="24" t="s">
        <v>22</v>
      </c>
      <c r="L52" s="24">
        <v>1</v>
      </c>
      <c r="M52" s="104">
        <v>1</v>
      </c>
      <c r="N52" s="25"/>
      <c r="O52" s="25"/>
      <c r="P52" s="25"/>
      <c r="Q52" s="25"/>
      <c r="R52" s="85" t="s">
        <v>1785</v>
      </c>
      <c r="S52" s="53"/>
      <c r="V52" s="88"/>
      <c r="W52" s="89"/>
    </row>
    <row r="53" spans="1:24" ht="40.5" customHeight="1" thickBot="1" x14ac:dyDescent="0.3">
      <c r="A53" s="16" t="s">
        <v>95</v>
      </c>
      <c r="B53" s="42" t="s">
        <v>96</v>
      </c>
      <c r="C53" s="17" t="s">
        <v>32</v>
      </c>
      <c r="D53" s="26">
        <v>5</v>
      </c>
      <c r="E53" s="26">
        <v>5</v>
      </c>
      <c r="F53" s="26"/>
      <c r="G53" s="26">
        <v>5</v>
      </c>
      <c r="H53" s="26">
        <v>5</v>
      </c>
      <c r="I53" s="267">
        <f t="shared" si="4"/>
        <v>0</v>
      </c>
      <c r="J53" s="48" t="s">
        <v>97</v>
      </c>
      <c r="K53" s="19" t="s">
        <v>22</v>
      </c>
      <c r="L53" s="19">
        <v>1</v>
      </c>
      <c r="M53" s="106">
        <v>0</v>
      </c>
      <c r="N53" s="20"/>
      <c r="O53" s="20"/>
      <c r="P53" s="20"/>
      <c r="Q53" s="20"/>
      <c r="R53" s="113"/>
      <c r="S53" s="52" t="s">
        <v>1786</v>
      </c>
      <c r="V53" s="88"/>
      <c r="W53" s="89"/>
    </row>
    <row r="54" spans="1:24" ht="39" thickBot="1" x14ac:dyDescent="0.3">
      <c r="A54" s="13" t="s">
        <v>98</v>
      </c>
      <c r="B54" s="41" t="s">
        <v>99</v>
      </c>
      <c r="C54" s="14"/>
      <c r="D54" s="15">
        <f>D55+D58</f>
        <v>30.2</v>
      </c>
      <c r="E54" s="15">
        <f>E55+E58</f>
        <v>30.2</v>
      </c>
      <c r="F54" s="15">
        <f>F55+F58</f>
        <v>17.100000000000001</v>
      </c>
      <c r="G54" s="15">
        <f>G55+G58</f>
        <v>13.1</v>
      </c>
      <c r="H54" s="15">
        <f>H55+H58</f>
        <v>13.1</v>
      </c>
      <c r="I54" s="260">
        <f>SUM(F54/E54)</f>
        <v>0.56622516556291391</v>
      </c>
      <c r="J54" s="329"/>
      <c r="K54" s="330"/>
      <c r="L54" s="330"/>
      <c r="M54" s="330"/>
      <c r="N54" s="330"/>
      <c r="O54" s="330"/>
      <c r="P54" s="330"/>
      <c r="Q54" s="330"/>
      <c r="R54" s="330"/>
      <c r="S54" s="331"/>
      <c r="V54" s="90"/>
      <c r="W54" s="90"/>
    </row>
    <row r="55" spans="1:24" ht="24.75" customHeight="1" x14ac:dyDescent="0.25">
      <c r="A55" s="306" t="s">
        <v>100</v>
      </c>
      <c r="B55" s="308" t="s">
        <v>101</v>
      </c>
      <c r="C55" s="17"/>
      <c r="D55" s="18">
        <f>SUM(D56:D57)</f>
        <v>17.2</v>
      </c>
      <c r="E55" s="18">
        <f>SUM(E56:E57)</f>
        <v>17.2</v>
      </c>
      <c r="F55" s="18">
        <f>SUM(F56:F57)</f>
        <v>14.100000000000001</v>
      </c>
      <c r="G55" s="18">
        <f>SUM(G56:G57)</f>
        <v>3.1</v>
      </c>
      <c r="H55" s="18">
        <f>SUM(H56:H57)</f>
        <v>3.1</v>
      </c>
      <c r="I55" s="262">
        <f>SUM(F55/E55)</f>
        <v>0.81976744186046524</v>
      </c>
      <c r="J55" s="314" t="s">
        <v>102</v>
      </c>
      <c r="K55" s="323" t="s">
        <v>22</v>
      </c>
      <c r="L55" s="323">
        <v>2</v>
      </c>
      <c r="M55" s="347">
        <v>2</v>
      </c>
      <c r="N55" s="20"/>
      <c r="O55" s="20"/>
      <c r="P55" s="20"/>
      <c r="Q55" s="20"/>
      <c r="R55" s="308" t="s">
        <v>1787</v>
      </c>
      <c r="S55" s="303"/>
      <c r="V55" s="90"/>
      <c r="W55" s="90"/>
    </row>
    <row r="56" spans="1:24" x14ac:dyDescent="0.25">
      <c r="A56" s="406"/>
      <c r="B56" s="310"/>
      <c r="C56" s="22" t="s">
        <v>30</v>
      </c>
      <c r="D56" s="23">
        <v>4.2</v>
      </c>
      <c r="E56" s="23">
        <v>4.2</v>
      </c>
      <c r="F56" s="23">
        <v>4.2</v>
      </c>
      <c r="G56" s="23"/>
      <c r="H56" s="23"/>
      <c r="I56" s="262">
        <f t="shared" si="4"/>
        <v>1</v>
      </c>
      <c r="J56" s="315"/>
      <c r="K56" s="324"/>
      <c r="L56" s="324"/>
      <c r="M56" s="348"/>
      <c r="N56" s="25"/>
      <c r="O56" s="25"/>
      <c r="P56" s="25"/>
      <c r="Q56" s="25"/>
      <c r="R56" s="310"/>
      <c r="S56" s="304"/>
    </row>
    <row r="57" spans="1:24" ht="15.75" thickBot="1" x14ac:dyDescent="0.3">
      <c r="A57" s="406"/>
      <c r="B57" s="310"/>
      <c r="C57" s="162" t="s">
        <v>32</v>
      </c>
      <c r="D57" s="163">
        <v>13</v>
      </c>
      <c r="E57" s="163">
        <v>13</v>
      </c>
      <c r="F57" s="163">
        <v>9.9</v>
      </c>
      <c r="G57" s="163">
        <v>3.1</v>
      </c>
      <c r="H57" s="163">
        <v>3.1</v>
      </c>
      <c r="I57" s="273">
        <f t="shared" si="4"/>
        <v>0.76153846153846161</v>
      </c>
      <c r="J57" s="315"/>
      <c r="K57" s="324"/>
      <c r="L57" s="324"/>
      <c r="M57" s="348"/>
      <c r="N57" s="164"/>
      <c r="O57" s="164"/>
      <c r="P57" s="164"/>
      <c r="Q57" s="164"/>
      <c r="R57" s="310"/>
      <c r="S57" s="304"/>
    </row>
    <row r="58" spans="1:24" ht="17.25" customHeight="1" x14ac:dyDescent="0.25">
      <c r="A58" s="410" t="s">
        <v>103</v>
      </c>
      <c r="B58" s="398" t="s">
        <v>104</v>
      </c>
      <c r="C58" s="194"/>
      <c r="D58" s="195">
        <f>SUM(D59:D60)</f>
        <v>13</v>
      </c>
      <c r="E58" s="195">
        <f>SUM(E59:E60)</f>
        <v>13</v>
      </c>
      <c r="F58" s="195">
        <f>SUM(F59:F60)</f>
        <v>3</v>
      </c>
      <c r="G58" s="195">
        <f>SUM(G59:G60)</f>
        <v>10</v>
      </c>
      <c r="H58" s="195">
        <f>SUM(H59:H60)</f>
        <v>10</v>
      </c>
      <c r="I58" s="274">
        <f t="shared" si="4"/>
        <v>0.23076923076923078</v>
      </c>
      <c r="J58" s="463" t="s">
        <v>105</v>
      </c>
      <c r="K58" s="385" t="s">
        <v>22</v>
      </c>
      <c r="L58" s="385">
        <v>4</v>
      </c>
      <c r="M58" s="390">
        <v>0</v>
      </c>
      <c r="N58" s="196"/>
      <c r="O58" s="196"/>
      <c r="P58" s="196"/>
      <c r="Q58" s="196"/>
      <c r="R58" s="392"/>
      <c r="S58" s="395" t="s">
        <v>1720</v>
      </c>
    </row>
    <row r="59" spans="1:24" x14ac:dyDescent="0.25">
      <c r="A59" s="411"/>
      <c r="B59" s="310"/>
      <c r="C59" s="22" t="s">
        <v>30</v>
      </c>
      <c r="D59" s="23">
        <v>3</v>
      </c>
      <c r="E59" s="23">
        <v>3</v>
      </c>
      <c r="F59" s="23">
        <v>3</v>
      </c>
      <c r="G59" s="23"/>
      <c r="H59" s="23"/>
      <c r="I59" s="262">
        <f t="shared" si="4"/>
        <v>1</v>
      </c>
      <c r="J59" s="464"/>
      <c r="K59" s="324"/>
      <c r="L59" s="324"/>
      <c r="M59" s="381"/>
      <c r="N59" s="25"/>
      <c r="O59" s="25"/>
      <c r="P59" s="25"/>
      <c r="Q59" s="25"/>
      <c r="R59" s="393"/>
      <c r="S59" s="396"/>
    </row>
    <row r="60" spans="1:24" ht="15.75" thickBot="1" x14ac:dyDescent="0.3">
      <c r="A60" s="412"/>
      <c r="B60" s="399"/>
      <c r="C60" s="197" t="s">
        <v>32</v>
      </c>
      <c r="D60" s="198">
        <v>10</v>
      </c>
      <c r="E60" s="198">
        <v>10</v>
      </c>
      <c r="F60" s="198"/>
      <c r="G60" s="198">
        <v>10</v>
      </c>
      <c r="H60" s="198">
        <v>10</v>
      </c>
      <c r="I60" s="275">
        <f t="shared" si="4"/>
        <v>0</v>
      </c>
      <c r="J60" s="465"/>
      <c r="K60" s="386"/>
      <c r="L60" s="386"/>
      <c r="M60" s="391"/>
      <c r="N60" s="199"/>
      <c r="O60" s="199"/>
      <c r="P60" s="199"/>
      <c r="Q60" s="199"/>
      <c r="R60" s="394"/>
      <c r="S60" s="397"/>
    </row>
    <row r="61" spans="1:24" ht="32.25" thickBot="1" x14ac:dyDescent="0.3">
      <c r="A61" s="190" t="s">
        <v>106</v>
      </c>
      <c r="B61" s="191" t="s">
        <v>107</v>
      </c>
      <c r="C61" s="192"/>
      <c r="D61" s="193">
        <f>D62+D112</f>
        <v>9535.7999999999993</v>
      </c>
      <c r="E61" s="193">
        <f>E62+E112</f>
        <v>9535.7999999999993</v>
      </c>
      <c r="F61" s="193">
        <f>F62+F112</f>
        <v>8541.1999999999989</v>
      </c>
      <c r="G61" s="193">
        <f>G62+G112</f>
        <v>994.59999999999991</v>
      </c>
      <c r="H61" s="193">
        <f>H62+H112</f>
        <v>994.59999999999991</v>
      </c>
      <c r="I61" s="276">
        <f>SUM(F61/E61)</f>
        <v>0.89569831582038206</v>
      </c>
      <c r="J61" s="455"/>
      <c r="K61" s="456"/>
      <c r="L61" s="456"/>
      <c r="M61" s="456"/>
      <c r="N61" s="456"/>
      <c r="O61" s="456"/>
      <c r="P61" s="456"/>
      <c r="Q61" s="456"/>
      <c r="R61" s="456"/>
      <c r="S61" s="457"/>
      <c r="U61" s="240"/>
      <c r="V61" s="241" t="s">
        <v>1</v>
      </c>
      <c r="W61" s="251" t="s">
        <v>1929</v>
      </c>
    </row>
    <row r="62" spans="1:24" ht="52.5" customHeight="1" x14ac:dyDescent="0.25">
      <c r="A62" s="458" t="s">
        <v>108</v>
      </c>
      <c r="B62" s="449" t="s">
        <v>109</v>
      </c>
      <c r="C62" s="57"/>
      <c r="D62" s="58">
        <f>D63+D64+D65+D88</f>
        <v>9147.1999999999989</v>
      </c>
      <c r="E62" s="58">
        <f>E63+E64+E65+E88</f>
        <v>9147.1999999999989</v>
      </c>
      <c r="F62" s="58">
        <f>F63+F64+F65+F88</f>
        <v>8156.2</v>
      </c>
      <c r="G62" s="58">
        <f>G63+G64+G65+G88</f>
        <v>990.99999999999989</v>
      </c>
      <c r="H62" s="58">
        <f>H63+H64+H65+H88</f>
        <v>990.99999999999989</v>
      </c>
      <c r="I62" s="259">
        <f>SUM(F62/E62)</f>
        <v>0.89166083610285118</v>
      </c>
      <c r="J62" s="47" t="s">
        <v>110</v>
      </c>
      <c r="K62" s="11" t="s">
        <v>29</v>
      </c>
      <c r="L62" s="11">
        <v>1.5</v>
      </c>
      <c r="M62" s="11">
        <v>1.5</v>
      </c>
      <c r="N62" s="12"/>
      <c r="O62" s="12"/>
      <c r="P62" s="12"/>
      <c r="Q62" s="12"/>
      <c r="R62" s="400"/>
      <c r="S62" s="401"/>
      <c r="U62" s="242"/>
      <c r="V62" s="243" t="s">
        <v>1930</v>
      </c>
      <c r="W62" s="244">
        <v>8</v>
      </c>
    </row>
    <row r="63" spans="1:24" ht="38.25" x14ac:dyDescent="0.25">
      <c r="A63" s="459"/>
      <c r="B63" s="461"/>
      <c r="C63" s="60"/>
      <c r="D63" s="60"/>
      <c r="E63" s="60"/>
      <c r="F63" s="60"/>
      <c r="G63" s="60"/>
      <c r="H63" s="60"/>
      <c r="I63" s="277"/>
      <c r="J63" s="61" t="s">
        <v>111</v>
      </c>
      <c r="K63" s="62" t="s">
        <v>29</v>
      </c>
      <c r="L63" s="62">
        <v>1.5</v>
      </c>
      <c r="M63" s="62">
        <v>1.5</v>
      </c>
      <c r="N63" s="25"/>
      <c r="O63" s="25"/>
      <c r="P63" s="25"/>
      <c r="Q63" s="25"/>
      <c r="R63" s="404"/>
      <c r="S63" s="405"/>
      <c r="U63" s="249"/>
      <c r="V63" s="243" t="s">
        <v>1931</v>
      </c>
      <c r="W63" s="244"/>
    </row>
    <row r="64" spans="1:24" ht="32.25" thickBot="1" x14ac:dyDescent="0.3">
      <c r="A64" s="460"/>
      <c r="B64" s="451"/>
      <c r="C64" s="59"/>
      <c r="D64" s="59"/>
      <c r="E64" s="59"/>
      <c r="F64" s="59"/>
      <c r="G64" s="59"/>
      <c r="H64" s="59"/>
      <c r="I64" s="278"/>
      <c r="J64" s="64" t="s">
        <v>112</v>
      </c>
      <c r="K64" s="62" t="s">
        <v>22</v>
      </c>
      <c r="L64" s="62">
        <v>5</v>
      </c>
      <c r="M64" s="62">
        <v>5</v>
      </c>
      <c r="N64" s="25"/>
      <c r="O64" s="25"/>
      <c r="P64" s="25"/>
      <c r="Q64" s="25"/>
      <c r="R64" s="402"/>
      <c r="S64" s="403"/>
      <c r="U64" s="245"/>
      <c r="V64" s="243" t="s">
        <v>1932</v>
      </c>
      <c r="W64" s="246">
        <v>3</v>
      </c>
    </row>
    <row r="65" spans="1:23" ht="85.9" customHeight="1" thickBot="1" x14ac:dyDescent="0.3">
      <c r="A65" s="13" t="s">
        <v>113</v>
      </c>
      <c r="B65" s="41" t="s">
        <v>114</v>
      </c>
      <c r="C65" s="14"/>
      <c r="D65" s="15">
        <f>SUM(D66:D69)</f>
        <v>732.5</v>
      </c>
      <c r="E65" s="15">
        <f>SUM(E66:E69)</f>
        <v>732.5</v>
      </c>
      <c r="F65" s="15">
        <f>SUM(F66:F69)</f>
        <v>729.7</v>
      </c>
      <c r="G65" s="15">
        <f>SUM(G66:G69)</f>
        <v>2.8</v>
      </c>
      <c r="H65" s="15">
        <f>SUM(H66:H69)</f>
        <v>2.8</v>
      </c>
      <c r="I65" s="260">
        <f>SUM(F65/E65)</f>
        <v>0.99617747440273041</v>
      </c>
      <c r="J65" s="329"/>
      <c r="K65" s="330"/>
      <c r="L65" s="330"/>
      <c r="M65" s="330"/>
      <c r="N65" s="330"/>
      <c r="O65" s="330"/>
      <c r="P65" s="330"/>
      <c r="Q65" s="330"/>
      <c r="R65" s="330"/>
      <c r="S65" s="331"/>
      <c r="U65" s="250"/>
      <c r="V65" s="243" t="s">
        <v>1933</v>
      </c>
      <c r="W65" s="246">
        <v>4</v>
      </c>
    </row>
    <row r="66" spans="1:23" ht="39.75" customHeight="1" thickBot="1" x14ac:dyDescent="0.3">
      <c r="A66" s="16" t="s">
        <v>115</v>
      </c>
      <c r="B66" s="42" t="s">
        <v>116</v>
      </c>
      <c r="C66" s="17" t="s">
        <v>32</v>
      </c>
      <c r="D66" s="26">
        <v>60</v>
      </c>
      <c r="E66" s="26">
        <v>60</v>
      </c>
      <c r="F66" s="26">
        <v>59.7</v>
      </c>
      <c r="G66" s="26">
        <v>0.3</v>
      </c>
      <c r="H66" s="26">
        <v>0.3</v>
      </c>
      <c r="I66" s="264">
        <f t="shared" ref="I66:I87" si="5">SUM(F66/E66)</f>
        <v>0.995</v>
      </c>
      <c r="J66" s="48" t="s">
        <v>117</v>
      </c>
      <c r="K66" s="19" t="s">
        <v>22</v>
      </c>
      <c r="L66" s="19">
        <v>34</v>
      </c>
      <c r="M66" s="107">
        <v>29</v>
      </c>
      <c r="N66" s="20"/>
      <c r="O66" s="20"/>
      <c r="P66" s="20"/>
      <c r="Q66" s="20"/>
      <c r="R66" s="48" t="s">
        <v>1713</v>
      </c>
      <c r="S66" s="52" t="s">
        <v>1714</v>
      </c>
      <c r="U66" s="247"/>
      <c r="V66" s="243" t="s">
        <v>1934</v>
      </c>
      <c r="W66" s="246"/>
    </row>
    <row r="67" spans="1:23" ht="57" customHeight="1" thickBot="1" x14ac:dyDescent="0.3">
      <c r="A67" s="16" t="s">
        <v>118</v>
      </c>
      <c r="B67" s="42" t="s">
        <v>119</v>
      </c>
      <c r="C67" s="17" t="s">
        <v>32</v>
      </c>
      <c r="D67" s="26">
        <v>26.2</v>
      </c>
      <c r="E67" s="26">
        <v>26.2</v>
      </c>
      <c r="F67" s="26">
        <v>26.2</v>
      </c>
      <c r="G67" s="26"/>
      <c r="H67" s="26"/>
      <c r="I67" s="264">
        <f t="shared" si="5"/>
        <v>1</v>
      </c>
      <c r="J67" s="48" t="s">
        <v>120</v>
      </c>
      <c r="K67" s="19" t="s">
        <v>22</v>
      </c>
      <c r="L67" s="19">
        <v>11</v>
      </c>
      <c r="M67" s="111">
        <v>11</v>
      </c>
      <c r="N67" s="20"/>
      <c r="O67" s="20"/>
      <c r="P67" s="20"/>
      <c r="Q67" s="20"/>
      <c r="R67" s="48" t="s">
        <v>1788</v>
      </c>
      <c r="S67" s="52"/>
      <c r="U67" s="240"/>
      <c r="V67" s="248" t="s">
        <v>1935</v>
      </c>
      <c r="W67" s="246">
        <f>+SUM(W62:W66)</f>
        <v>15</v>
      </c>
    </row>
    <row r="68" spans="1:23" ht="78" customHeight="1" thickBot="1" x14ac:dyDescent="0.3">
      <c r="A68" s="16" t="s">
        <v>121</v>
      </c>
      <c r="B68" s="42" t="s">
        <v>122</v>
      </c>
      <c r="C68" s="17" t="s">
        <v>32</v>
      </c>
      <c r="D68" s="26">
        <v>320.5</v>
      </c>
      <c r="E68" s="26">
        <v>320.5</v>
      </c>
      <c r="F68" s="26">
        <v>320.5</v>
      </c>
      <c r="G68" s="26"/>
      <c r="H68" s="26"/>
      <c r="I68" s="264">
        <f t="shared" si="5"/>
        <v>1</v>
      </c>
      <c r="J68" s="48" t="s">
        <v>123</v>
      </c>
      <c r="K68" s="19" t="s">
        <v>22</v>
      </c>
      <c r="L68" s="19">
        <v>8</v>
      </c>
      <c r="M68" s="107">
        <v>7</v>
      </c>
      <c r="N68" s="20"/>
      <c r="O68" s="20"/>
      <c r="P68" s="20"/>
      <c r="Q68" s="20"/>
      <c r="R68" s="48" t="s">
        <v>1789</v>
      </c>
      <c r="S68" s="52" t="s">
        <v>1679</v>
      </c>
    </row>
    <row r="69" spans="1:23" ht="134.25" customHeight="1" x14ac:dyDescent="0.25">
      <c r="A69" s="306" t="s">
        <v>124</v>
      </c>
      <c r="B69" s="308" t="s">
        <v>125</v>
      </c>
      <c r="C69" s="17"/>
      <c r="D69" s="18">
        <f>D70+D71+D72+D86+D87</f>
        <v>325.8</v>
      </c>
      <c r="E69" s="18">
        <f>E70+E71+E72+E86+E87</f>
        <v>325.8</v>
      </c>
      <c r="F69" s="18">
        <f>F70+F71+F72+F86+F87</f>
        <v>323.3</v>
      </c>
      <c r="G69" s="18">
        <f>G70+G71+G72+G86+G87</f>
        <v>2.5</v>
      </c>
      <c r="H69" s="18">
        <f>H70+H71+H72+H86+H87</f>
        <v>2.5</v>
      </c>
      <c r="I69" s="261">
        <f t="shared" si="5"/>
        <v>0.99232658072437074</v>
      </c>
      <c r="J69" s="48" t="s">
        <v>126</v>
      </c>
      <c r="K69" s="19" t="s">
        <v>22</v>
      </c>
      <c r="L69" s="19">
        <v>14</v>
      </c>
      <c r="M69" s="111">
        <v>14</v>
      </c>
      <c r="N69" s="20"/>
      <c r="O69" s="20"/>
      <c r="P69" s="20"/>
      <c r="Q69" s="20"/>
      <c r="R69" s="48" t="s">
        <v>127</v>
      </c>
      <c r="S69" s="294"/>
    </row>
    <row r="70" spans="1:23" ht="69.75" customHeight="1" x14ac:dyDescent="0.25">
      <c r="A70" s="406"/>
      <c r="B70" s="310"/>
      <c r="C70" s="22"/>
      <c r="D70" s="23"/>
      <c r="E70" s="23"/>
      <c r="F70" s="23"/>
      <c r="G70" s="23"/>
      <c r="H70" s="54"/>
      <c r="I70" s="262"/>
      <c r="J70" s="55" t="s">
        <v>128</v>
      </c>
      <c r="K70" s="24" t="s">
        <v>22</v>
      </c>
      <c r="L70" s="24">
        <v>31</v>
      </c>
      <c r="M70" s="110">
        <v>32</v>
      </c>
      <c r="N70" s="25"/>
      <c r="O70" s="25"/>
      <c r="P70" s="25"/>
      <c r="Q70" s="25"/>
      <c r="R70" s="49" t="s">
        <v>1790</v>
      </c>
      <c r="S70" s="295"/>
    </row>
    <row r="71" spans="1:23" ht="44.25" customHeight="1" thickBot="1" x14ac:dyDescent="0.3">
      <c r="A71" s="307"/>
      <c r="B71" s="309"/>
      <c r="C71" s="22"/>
      <c r="D71" s="23"/>
      <c r="E71" s="23"/>
      <c r="F71" s="23"/>
      <c r="G71" s="23"/>
      <c r="H71" s="23"/>
      <c r="I71" s="279"/>
      <c r="J71" s="49" t="s">
        <v>129</v>
      </c>
      <c r="K71" s="24" t="s">
        <v>22</v>
      </c>
      <c r="L71" s="24">
        <v>2</v>
      </c>
      <c r="M71" s="104">
        <v>2</v>
      </c>
      <c r="N71" s="25"/>
      <c r="O71" s="25"/>
      <c r="P71" s="25"/>
      <c r="Q71" s="25"/>
      <c r="R71" s="145"/>
      <c r="S71" s="296"/>
    </row>
    <row r="72" spans="1:23" ht="32.25" customHeight="1" x14ac:dyDescent="0.25">
      <c r="A72" s="306" t="s">
        <v>130</v>
      </c>
      <c r="B72" s="308" t="s">
        <v>131</v>
      </c>
      <c r="C72" s="17" t="s">
        <v>32</v>
      </c>
      <c r="D72" s="18">
        <f>SUM(D73:D85)+282.2</f>
        <v>282.2</v>
      </c>
      <c r="E72" s="18">
        <f>SUM(E73:E85)+282.2</f>
        <v>282.2</v>
      </c>
      <c r="F72" s="18">
        <f>SUM(F73:F85)+282.2</f>
        <v>282.2</v>
      </c>
      <c r="G72" s="18"/>
      <c r="H72" s="18"/>
      <c r="I72" s="261">
        <f t="shared" si="5"/>
        <v>1</v>
      </c>
      <c r="J72" s="48" t="s">
        <v>132</v>
      </c>
      <c r="K72" s="19" t="s">
        <v>22</v>
      </c>
      <c r="L72" s="19">
        <v>1</v>
      </c>
      <c r="M72" s="111">
        <v>1</v>
      </c>
      <c r="N72" s="20"/>
      <c r="O72" s="20"/>
      <c r="P72" s="20"/>
      <c r="Q72" s="20"/>
      <c r="R72" s="48" t="s">
        <v>133</v>
      </c>
      <c r="S72" s="52"/>
    </row>
    <row r="73" spans="1:23" ht="105" customHeight="1" x14ac:dyDescent="0.25">
      <c r="A73" s="406"/>
      <c r="B73" s="310"/>
      <c r="C73" s="22"/>
      <c r="D73" s="23"/>
      <c r="E73" s="23"/>
      <c r="F73" s="23"/>
      <c r="G73" s="23"/>
      <c r="H73" s="54"/>
      <c r="I73" s="262"/>
      <c r="J73" s="55" t="s">
        <v>134</v>
      </c>
      <c r="K73" s="24" t="s">
        <v>22</v>
      </c>
      <c r="L73" s="24">
        <v>1</v>
      </c>
      <c r="M73" s="104">
        <v>1</v>
      </c>
      <c r="N73" s="25"/>
      <c r="O73" s="25"/>
      <c r="P73" s="25"/>
      <c r="Q73" s="25"/>
      <c r="R73" s="49" t="s">
        <v>135</v>
      </c>
      <c r="S73" s="53"/>
    </row>
    <row r="74" spans="1:23" ht="25.5" x14ac:dyDescent="0.25">
      <c r="A74" s="406"/>
      <c r="B74" s="310"/>
      <c r="C74" s="22"/>
      <c r="D74" s="23"/>
      <c r="E74" s="23"/>
      <c r="F74" s="23"/>
      <c r="G74" s="23"/>
      <c r="H74" s="54"/>
      <c r="I74" s="262"/>
      <c r="J74" s="55" t="s">
        <v>136</v>
      </c>
      <c r="K74" s="24" t="s">
        <v>22</v>
      </c>
      <c r="L74" s="24">
        <v>1</v>
      </c>
      <c r="M74" s="104">
        <v>1</v>
      </c>
      <c r="N74" s="25"/>
      <c r="O74" s="25"/>
      <c r="P74" s="25"/>
      <c r="Q74" s="25"/>
      <c r="R74" s="49" t="s">
        <v>137</v>
      </c>
      <c r="S74" s="53"/>
    </row>
    <row r="75" spans="1:23" ht="54" customHeight="1" x14ac:dyDescent="0.25">
      <c r="A75" s="406"/>
      <c r="B75" s="310"/>
      <c r="C75" s="22"/>
      <c r="D75" s="23"/>
      <c r="E75" s="23"/>
      <c r="F75" s="23"/>
      <c r="G75" s="23"/>
      <c r="H75" s="54"/>
      <c r="I75" s="262"/>
      <c r="J75" s="55" t="s">
        <v>138</v>
      </c>
      <c r="K75" s="24" t="s">
        <v>22</v>
      </c>
      <c r="L75" s="24">
        <v>1</v>
      </c>
      <c r="M75" s="104">
        <v>1</v>
      </c>
      <c r="N75" s="25"/>
      <c r="O75" s="25"/>
      <c r="P75" s="25"/>
      <c r="Q75" s="25"/>
      <c r="R75" s="49" t="s">
        <v>139</v>
      </c>
      <c r="S75" s="53"/>
    </row>
    <row r="76" spans="1:23" ht="51" customHeight="1" x14ac:dyDescent="0.25">
      <c r="A76" s="406"/>
      <c r="B76" s="310"/>
      <c r="C76" s="22"/>
      <c r="D76" s="23"/>
      <c r="E76" s="23"/>
      <c r="F76" s="23"/>
      <c r="G76" s="23"/>
      <c r="H76" s="54"/>
      <c r="I76" s="262"/>
      <c r="J76" s="55" t="s">
        <v>140</v>
      </c>
      <c r="K76" s="24" t="s">
        <v>22</v>
      </c>
      <c r="L76" s="24">
        <v>1</v>
      </c>
      <c r="M76" s="104">
        <v>1</v>
      </c>
      <c r="N76" s="25"/>
      <c r="O76" s="25"/>
      <c r="P76" s="25"/>
      <c r="Q76" s="25"/>
      <c r="R76" s="49" t="s">
        <v>141</v>
      </c>
      <c r="S76" s="53"/>
    </row>
    <row r="77" spans="1:23" ht="39" customHeight="1" x14ac:dyDescent="0.25">
      <c r="A77" s="406"/>
      <c r="B77" s="310"/>
      <c r="C77" s="22"/>
      <c r="D77" s="23"/>
      <c r="E77" s="23"/>
      <c r="F77" s="23"/>
      <c r="G77" s="23"/>
      <c r="H77" s="54"/>
      <c r="I77" s="262"/>
      <c r="J77" s="55" t="s">
        <v>142</v>
      </c>
      <c r="K77" s="24" t="s">
        <v>22</v>
      </c>
      <c r="L77" s="24">
        <v>1</v>
      </c>
      <c r="M77" s="104">
        <v>1</v>
      </c>
      <c r="N77" s="25"/>
      <c r="O77" s="25"/>
      <c r="P77" s="25"/>
      <c r="Q77" s="25"/>
      <c r="R77" s="49" t="s">
        <v>143</v>
      </c>
      <c r="S77" s="53"/>
    </row>
    <row r="78" spans="1:23" ht="105" customHeight="1" x14ac:dyDescent="0.25">
      <c r="A78" s="406"/>
      <c r="B78" s="310"/>
      <c r="C78" s="22"/>
      <c r="D78" s="23"/>
      <c r="E78" s="23"/>
      <c r="F78" s="23"/>
      <c r="G78" s="23"/>
      <c r="H78" s="54"/>
      <c r="I78" s="262"/>
      <c r="J78" s="55" t="s">
        <v>144</v>
      </c>
      <c r="K78" s="24" t="s">
        <v>22</v>
      </c>
      <c r="L78" s="24">
        <v>1</v>
      </c>
      <c r="M78" s="104">
        <v>1</v>
      </c>
      <c r="N78" s="25"/>
      <c r="O78" s="25"/>
      <c r="P78" s="25"/>
      <c r="Q78" s="25"/>
      <c r="R78" s="49" t="s">
        <v>145</v>
      </c>
      <c r="S78" s="53"/>
    </row>
    <row r="79" spans="1:23" ht="92.25" customHeight="1" x14ac:dyDescent="0.25">
      <c r="A79" s="406"/>
      <c r="B79" s="310"/>
      <c r="C79" s="22"/>
      <c r="D79" s="23"/>
      <c r="E79" s="23"/>
      <c r="F79" s="23"/>
      <c r="G79" s="23"/>
      <c r="H79" s="54"/>
      <c r="I79" s="262"/>
      <c r="J79" s="55" t="s">
        <v>146</v>
      </c>
      <c r="K79" s="24" t="s">
        <v>22</v>
      </c>
      <c r="L79" s="24">
        <v>1</v>
      </c>
      <c r="M79" s="104">
        <v>1</v>
      </c>
      <c r="N79" s="25"/>
      <c r="O79" s="25"/>
      <c r="P79" s="25"/>
      <c r="Q79" s="25"/>
      <c r="R79" s="49" t="s">
        <v>147</v>
      </c>
      <c r="S79" s="53"/>
    </row>
    <row r="80" spans="1:23" ht="39" customHeight="1" x14ac:dyDescent="0.25">
      <c r="A80" s="406"/>
      <c r="B80" s="310"/>
      <c r="C80" s="22"/>
      <c r="D80" s="23"/>
      <c r="E80" s="23"/>
      <c r="F80" s="23"/>
      <c r="G80" s="23"/>
      <c r="H80" s="23"/>
      <c r="I80" s="266"/>
      <c r="J80" s="49" t="s">
        <v>148</v>
      </c>
      <c r="K80" s="24" t="s">
        <v>22</v>
      </c>
      <c r="L80" s="24">
        <v>1</v>
      </c>
      <c r="M80" s="104">
        <v>1</v>
      </c>
      <c r="N80" s="25"/>
      <c r="O80" s="25"/>
      <c r="P80" s="25"/>
      <c r="Q80" s="25"/>
      <c r="R80" s="49" t="s">
        <v>149</v>
      </c>
      <c r="S80" s="53"/>
    </row>
    <row r="81" spans="1:19" ht="53.25" customHeight="1" x14ac:dyDescent="0.25">
      <c r="A81" s="406"/>
      <c r="B81" s="310"/>
      <c r="C81" s="22"/>
      <c r="D81" s="23"/>
      <c r="E81" s="23"/>
      <c r="F81" s="23"/>
      <c r="G81" s="23"/>
      <c r="H81" s="54"/>
      <c r="I81" s="262"/>
      <c r="J81" s="55" t="s">
        <v>150</v>
      </c>
      <c r="K81" s="24" t="s">
        <v>22</v>
      </c>
      <c r="L81" s="24">
        <v>1</v>
      </c>
      <c r="M81" s="104">
        <v>1</v>
      </c>
      <c r="N81" s="25"/>
      <c r="O81" s="25"/>
      <c r="P81" s="25"/>
      <c r="Q81" s="25"/>
      <c r="R81" s="49" t="s">
        <v>151</v>
      </c>
      <c r="S81" s="53"/>
    </row>
    <row r="82" spans="1:19" ht="78.75" customHeight="1" x14ac:dyDescent="0.25">
      <c r="A82" s="406"/>
      <c r="B82" s="310"/>
      <c r="C82" s="22"/>
      <c r="D82" s="23"/>
      <c r="E82" s="23"/>
      <c r="F82" s="23"/>
      <c r="G82" s="23"/>
      <c r="H82" s="54"/>
      <c r="I82" s="262"/>
      <c r="J82" s="55" t="s">
        <v>152</v>
      </c>
      <c r="K82" s="24" t="s">
        <v>22</v>
      </c>
      <c r="L82" s="24">
        <v>1</v>
      </c>
      <c r="M82" s="104">
        <v>1</v>
      </c>
      <c r="N82" s="25"/>
      <c r="O82" s="25"/>
      <c r="P82" s="25"/>
      <c r="Q82" s="25"/>
      <c r="R82" s="49" t="s">
        <v>153</v>
      </c>
      <c r="S82" s="53"/>
    </row>
    <row r="83" spans="1:19" ht="38.25" x14ac:dyDescent="0.25">
      <c r="A83" s="406"/>
      <c r="B83" s="310"/>
      <c r="C83" s="22"/>
      <c r="D83" s="23"/>
      <c r="E83" s="23"/>
      <c r="F83" s="23"/>
      <c r="G83" s="23"/>
      <c r="H83" s="54"/>
      <c r="I83" s="262"/>
      <c r="J83" s="55" t="s">
        <v>154</v>
      </c>
      <c r="K83" s="24" t="s">
        <v>22</v>
      </c>
      <c r="L83" s="24">
        <v>1</v>
      </c>
      <c r="M83" s="104">
        <v>1</v>
      </c>
      <c r="N83" s="25"/>
      <c r="O83" s="25"/>
      <c r="P83" s="25"/>
      <c r="Q83" s="25"/>
      <c r="R83" s="49" t="s">
        <v>155</v>
      </c>
      <c r="S83" s="53"/>
    </row>
    <row r="84" spans="1:19" ht="66" customHeight="1" x14ac:dyDescent="0.25">
      <c r="A84" s="406"/>
      <c r="B84" s="310"/>
      <c r="C84" s="22"/>
      <c r="D84" s="23"/>
      <c r="E84" s="23"/>
      <c r="F84" s="23"/>
      <c r="G84" s="23"/>
      <c r="H84" s="54"/>
      <c r="I84" s="262"/>
      <c r="J84" s="55" t="s">
        <v>156</v>
      </c>
      <c r="K84" s="24" t="s">
        <v>22</v>
      </c>
      <c r="L84" s="24">
        <v>1</v>
      </c>
      <c r="M84" s="104">
        <v>1</v>
      </c>
      <c r="N84" s="25"/>
      <c r="O84" s="25"/>
      <c r="P84" s="25"/>
      <c r="Q84" s="25"/>
      <c r="R84" s="49" t="s">
        <v>157</v>
      </c>
      <c r="S84" s="53"/>
    </row>
    <row r="85" spans="1:19" ht="26.25" thickBot="1" x14ac:dyDescent="0.3">
      <c r="A85" s="307"/>
      <c r="B85" s="309"/>
      <c r="C85" s="22"/>
      <c r="D85" s="23"/>
      <c r="E85" s="23"/>
      <c r="F85" s="23"/>
      <c r="G85" s="23"/>
      <c r="H85" s="23"/>
      <c r="I85" s="279"/>
      <c r="J85" s="49" t="s">
        <v>158</v>
      </c>
      <c r="K85" s="24" t="s">
        <v>22</v>
      </c>
      <c r="L85" s="24">
        <v>1</v>
      </c>
      <c r="M85" s="104">
        <v>1</v>
      </c>
      <c r="N85" s="25"/>
      <c r="O85" s="25"/>
      <c r="P85" s="25"/>
      <c r="Q85" s="25"/>
      <c r="R85" s="49" t="s">
        <v>159</v>
      </c>
      <c r="S85" s="53"/>
    </row>
    <row r="86" spans="1:19" ht="64.5" thickBot="1" x14ac:dyDescent="0.3">
      <c r="A86" s="16" t="s">
        <v>160</v>
      </c>
      <c r="B86" s="42" t="s">
        <v>161</v>
      </c>
      <c r="C86" s="17" t="s">
        <v>32</v>
      </c>
      <c r="D86" s="26">
        <v>38.6</v>
      </c>
      <c r="E86" s="26">
        <v>38.6</v>
      </c>
      <c r="F86" s="26">
        <v>36.1</v>
      </c>
      <c r="G86" s="26">
        <v>2.5</v>
      </c>
      <c r="H86" s="26">
        <v>2.5</v>
      </c>
      <c r="I86" s="264">
        <f t="shared" si="5"/>
        <v>0.93523316062176165</v>
      </c>
      <c r="J86" s="48" t="s">
        <v>128</v>
      </c>
      <c r="K86" s="19" t="s">
        <v>22</v>
      </c>
      <c r="L86" s="19">
        <v>31</v>
      </c>
      <c r="M86" s="108">
        <v>32</v>
      </c>
      <c r="N86" s="20"/>
      <c r="O86" s="20"/>
      <c r="P86" s="20"/>
      <c r="Q86" s="20"/>
      <c r="R86" s="146" t="s">
        <v>1791</v>
      </c>
      <c r="S86" s="120"/>
    </row>
    <row r="87" spans="1:19" ht="39" thickBot="1" x14ac:dyDescent="0.3">
      <c r="A87" s="16" t="s">
        <v>162</v>
      </c>
      <c r="B87" s="42" t="s">
        <v>163</v>
      </c>
      <c r="C87" s="17" t="s">
        <v>32</v>
      </c>
      <c r="D87" s="26">
        <v>5</v>
      </c>
      <c r="E87" s="26">
        <v>5</v>
      </c>
      <c r="F87" s="26">
        <v>5</v>
      </c>
      <c r="G87" s="26"/>
      <c r="H87" s="26"/>
      <c r="I87" s="264">
        <f t="shared" si="5"/>
        <v>1</v>
      </c>
      <c r="J87" s="48" t="s">
        <v>129</v>
      </c>
      <c r="K87" s="19" t="s">
        <v>22</v>
      </c>
      <c r="L87" s="19">
        <v>2</v>
      </c>
      <c r="M87" s="111">
        <v>2</v>
      </c>
      <c r="N87" s="20"/>
      <c r="O87" s="20"/>
      <c r="P87" s="20"/>
      <c r="Q87" s="20"/>
      <c r="R87" s="147"/>
      <c r="S87" s="52"/>
    </row>
    <row r="88" spans="1:19" ht="33" customHeight="1" thickBot="1" x14ac:dyDescent="0.3">
      <c r="A88" s="13" t="s">
        <v>164</v>
      </c>
      <c r="B88" s="41" t="s">
        <v>165</v>
      </c>
      <c r="C88" s="14"/>
      <c r="D88" s="15">
        <f>D89+D99+D102+D104+D106+D110+D111</f>
        <v>8414.6999999999989</v>
      </c>
      <c r="E88" s="15">
        <f>E89+E99+E102+E104+E106+E110+E111</f>
        <v>8414.6999999999989</v>
      </c>
      <c r="F88" s="15">
        <f>F89+F99+F102+F104+F106+F110+F111</f>
        <v>7426.5</v>
      </c>
      <c r="G88" s="15">
        <f>G89+G99+G102+G104+G106+G110+G111+0.1</f>
        <v>988.19999999999993</v>
      </c>
      <c r="H88" s="15">
        <f>H89+H99+H102+H104+H106+H110+H111+0.1</f>
        <v>988.19999999999993</v>
      </c>
      <c r="I88" s="260">
        <f>SUM(F88/E88)</f>
        <v>0.88256265820528368</v>
      </c>
      <c r="J88" s="329"/>
      <c r="K88" s="330"/>
      <c r="L88" s="330"/>
      <c r="M88" s="330"/>
      <c r="N88" s="330"/>
      <c r="O88" s="330"/>
      <c r="P88" s="330"/>
      <c r="Q88" s="330"/>
      <c r="R88" s="330"/>
      <c r="S88" s="331"/>
    </row>
    <row r="89" spans="1:19" ht="42.75" customHeight="1" x14ac:dyDescent="0.25">
      <c r="A89" s="306" t="s">
        <v>166</v>
      </c>
      <c r="B89" s="308" t="s">
        <v>167</v>
      </c>
      <c r="C89" s="17"/>
      <c r="D89" s="18">
        <f>SUM(D90:D98)+0.1</f>
        <v>7291.3999999999987</v>
      </c>
      <c r="E89" s="18">
        <f>SUM(E90:E98)+0.1</f>
        <v>7291.3999999999987</v>
      </c>
      <c r="F89" s="18">
        <f>SUM(F90:F98)+0.1</f>
        <v>6691.6</v>
      </c>
      <c r="G89" s="18">
        <f>SUM(G90:G98)</f>
        <v>599.69999999999993</v>
      </c>
      <c r="H89" s="18">
        <f>SUM(H90:H98)</f>
        <v>599.69999999999993</v>
      </c>
      <c r="I89" s="261">
        <f t="shared" ref="I89:I111" si="6">SUM(F89/E89)</f>
        <v>0.91773870587267214</v>
      </c>
      <c r="J89" s="48" t="s">
        <v>168</v>
      </c>
      <c r="K89" s="19" t="s">
        <v>22</v>
      </c>
      <c r="L89" s="19">
        <v>72</v>
      </c>
      <c r="M89" s="111">
        <v>72</v>
      </c>
      <c r="N89" s="20"/>
      <c r="O89" s="20"/>
      <c r="P89" s="20"/>
      <c r="Q89" s="20"/>
      <c r="R89" s="48" t="s">
        <v>169</v>
      </c>
      <c r="S89" s="120"/>
    </row>
    <row r="90" spans="1:19" ht="66" customHeight="1" x14ac:dyDescent="0.25">
      <c r="A90" s="406"/>
      <c r="B90" s="310"/>
      <c r="C90" s="22" t="s">
        <v>30</v>
      </c>
      <c r="D90" s="23">
        <v>749.9</v>
      </c>
      <c r="E90" s="23">
        <v>749.9</v>
      </c>
      <c r="F90" s="23">
        <v>332.6</v>
      </c>
      <c r="G90" s="23">
        <v>417.3</v>
      </c>
      <c r="H90" s="54">
        <v>417.3</v>
      </c>
      <c r="I90" s="262">
        <f t="shared" si="6"/>
        <v>0.44352580344045878</v>
      </c>
      <c r="J90" s="55" t="s">
        <v>170</v>
      </c>
      <c r="K90" s="24" t="s">
        <v>22</v>
      </c>
      <c r="L90" s="94">
        <v>745</v>
      </c>
      <c r="M90" s="114">
        <v>2448</v>
      </c>
      <c r="N90" s="25"/>
      <c r="O90" s="25"/>
      <c r="P90" s="25"/>
      <c r="Q90" s="25"/>
      <c r="R90" s="49" t="s">
        <v>171</v>
      </c>
      <c r="S90" s="53"/>
    </row>
    <row r="91" spans="1:19" ht="66.75" customHeight="1" x14ac:dyDescent="0.25">
      <c r="A91" s="406"/>
      <c r="B91" s="310"/>
      <c r="C91" s="22" t="s">
        <v>172</v>
      </c>
      <c r="D91" s="23">
        <v>242.8</v>
      </c>
      <c r="E91" s="23">
        <v>242.8</v>
      </c>
      <c r="F91" s="23">
        <v>200.8</v>
      </c>
      <c r="G91" s="23">
        <v>42</v>
      </c>
      <c r="H91" s="54">
        <v>42</v>
      </c>
      <c r="I91" s="262">
        <f t="shared" si="6"/>
        <v>0.82701812191103785</v>
      </c>
      <c r="J91" s="55" t="s">
        <v>173</v>
      </c>
      <c r="K91" s="24" t="s">
        <v>22</v>
      </c>
      <c r="L91" s="94">
        <v>25</v>
      </c>
      <c r="M91" s="114">
        <v>26</v>
      </c>
      <c r="N91" s="25"/>
      <c r="O91" s="25"/>
      <c r="P91" s="25"/>
      <c r="Q91" s="25"/>
      <c r="R91" s="49" t="s">
        <v>174</v>
      </c>
      <c r="S91" s="53"/>
    </row>
    <row r="92" spans="1:19" ht="55.5" customHeight="1" x14ac:dyDescent="0.25">
      <c r="A92" s="406"/>
      <c r="B92" s="310"/>
      <c r="C92" s="22" t="s">
        <v>32</v>
      </c>
      <c r="D92" s="23">
        <v>5785.4</v>
      </c>
      <c r="E92" s="23">
        <v>5785.4</v>
      </c>
      <c r="F92" s="23">
        <v>5744.4</v>
      </c>
      <c r="G92" s="23">
        <v>41</v>
      </c>
      <c r="H92" s="54">
        <v>41</v>
      </c>
      <c r="I92" s="262">
        <f t="shared" si="6"/>
        <v>0.99291319528468214</v>
      </c>
      <c r="J92" s="55" t="s">
        <v>175</v>
      </c>
      <c r="K92" s="24" t="s">
        <v>22</v>
      </c>
      <c r="L92" s="94">
        <v>33500</v>
      </c>
      <c r="M92" s="114">
        <v>38003</v>
      </c>
      <c r="N92" s="25"/>
      <c r="O92" s="25"/>
      <c r="P92" s="25"/>
      <c r="Q92" s="25"/>
      <c r="R92" s="49" t="s">
        <v>176</v>
      </c>
      <c r="S92" s="53"/>
    </row>
    <row r="93" spans="1:19" ht="69.75" customHeight="1" x14ac:dyDescent="0.25">
      <c r="A93" s="406"/>
      <c r="B93" s="310"/>
      <c r="C93" s="22" t="s">
        <v>177</v>
      </c>
      <c r="D93" s="23">
        <v>170.7</v>
      </c>
      <c r="E93" s="23">
        <v>170.7</v>
      </c>
      <c r="F93" s="23">
        <v>124.6</v>
      </c>
      <c r="G93" s="23">
        <v>46</v>
      </c>
      <c r="H93" s="54">
        <v>46</v>
      </c>
      <c r="I93" s="262">
        <f t="shared" si="6"/>
        <v>0.72993555946104283</v>
      </c>
      <c r="J93" s="55" t="s">
        <v>178</v>
      </c>
      <c r="K93" s="24" t="s">
        <v>22</v>
      </c>
      <c r="L93" s="24">
        <v>688</v>
      </c>
      <c r="M93" s="114">
        <v>1067</v>
      </c>
      <c r="N93" s="25"/>
      <c r="O93" s="25"/>
      <c r="P93" s="25"/>
      <c r="Q93" s="25"/>
      <c r="R93" s="49" t="s">
        <v>179</v>
      </c>
      <c r="S93" s="53"/>
    </row>
    <row r="94" spans="1:19" ht="25.5" x14ac:dyDescent="0.25">
      <c r="A94" s="406"/>
      <c r="B94" s="310"/>
      <c r="C94" s="22" t="s">
        <v>180</v>
      </c>
      <c r="D94" s="23">
        <v>0.2</v>
      </c>
      <c r="E94" s="23">
        <v>0.2</v>
      </c>
      <c r="F94" s="23">
        <v>0.1</v>
      </c>
      <c r="G94" s="23">
        <v>0.1</v>
      </c>
      <c r="H94" s="54">
        <v>0.1</v>
      </c>
      <c r="I94" s="262">
        <f t="shared" si="6"/>
        <v>0.5</v>
      </c>
      <c r="J94" s="55" t="s">
        <v>181</v>
      </c>
      <c r="K94" s="24" t="s">
        <v>22</v>
      </c>
      <c r="L94" s="24">
        <v>237</v>
      </c>
      <c r="M94" s="109">
        <v>225</v>
      </c>
      <c r="N94" s="25"/>
      <c r="O94" s="25"/>
      <c r="P94" s="25"/>
      <c r="Q94" s="25"/>
      <c r="R94" s="49" t="s">
        <v>182</v>
      </c>
      <c r="S94" s="53" t="s">
        <v>1680</v>
      </c>
    </row>
    <row r="95" spans="1:19" ht="76.5" x14ac:dyDescent="0.25">
      <c r="A95" s="406"/>
      <c r="B95" s="310"/>
      <c r="C95" s="22" t="s">
        <v>55</v>
      </c>
      <c r="D95" s="23">
        <v>43.4</v>
      </c>
      <c r="E95" s="23">
        <v>43.4</v>
      </c>
      <c r="F95" s="23">
        <v>43.4</v>
      </c>
      <c r="G95" s="23"/>
      <c r="H95" s="54"/>
      <c r="I95" s="262">
        <f t="shared" si="6"/>
        <v>1</v>
      </c>
      <c r="J95" s="55" t="s">
        <v>183</v>
      </c>
      <c r="K95" s="24" t="s">
        <v>22</v>
      </c>
      <c r="L95" s="94">
        <v>384700</v>
      </c>
      <c r="M95" s="114">
        <v>577643</v>
      </c>
      <c r="N95" s="25"/>
      <c r="O95" s="25"/>
      <c r="P95" s="25"/>
      <c r="Q95" s="25"/>
      <c r="R95" s="49" t="s">
        <v>184</v>
      </c>
      <c r="S95" s="53"/>
    </row>
    <row r="96" spans="1:19" ht="89.25" x14ac:dyDescent="0.25">
      <c r="A96" s="406"/>
      <c r="B96" s="310"/>
      <c r="C96" s="22" t="s">
        <v>185</v>
      </c>
      <c r="D96" s="23">
        <v>298.89999999999998</v>
      </c>
      <c r="E96" s="23">
        <v>298.89999999999998</v>
      </c>
      <c r="F96" s="23">
        <v>245.6</v>
      </c>
      <c r="G96" s="23">
        <v>53.3</v>
      </c>
      <c r="H96" s="54">
        <v>53.3</v>
      </c>
      <c r="I96" s="262">
        <f t="shared" si="6"/>
        <v>0.82167949146871866</v>
      </c>
      <c r="J96" s="55" t="s">
        <v>186</v>
      </c>
      <c r="K96" s="24" t="s">
        <v>22</v>
      </c>
      <c r="L96" s="94">
        <v>19270</v>
      </c>
      <c r="M96" s="114">
        <v>23924</v>
      </c>
      <c r="N96" s="25"/>
      <c r="O96" s="25"/>
      <c r="P96" s="25"/>
      <c r="Q96" s="25"/>
      <c r="R96" s="49" t="s">
        <v>187</v>
      </c>
      <c r="S96" s="53"/>
    </row>
    <row r="97" spans="1:19" ht="66.75" customHeight="1" x14ac:dyDescent="0.25">
      <c r="A97" s="406"/>
      <c r="B97" s="310"/>
      <c r="C97" s="22"/>
      <c r="D97" s="23"/>
      <c r="E97" s="23"/>
      <c r="F97" s="23"/>
      <c r="G97" s="23"/>
      <c r="H97" s="54"/>
      <c r="I97" s="262"/>
      <c r="J97" s="55" t="s">
        <v>188</v>
      </c>
      <c r="K97" s="24" t="s">
        <v>22</v>
      </c>
      <c r="L97" s="94">
        <v>13230</v>
      </c>
      <c r="M97" s="114">
        <v>23443</v>
      </c>
      <c r="N97" s="25"/>
      <c r="O97" s="25"/>
      <c r="P97" s="25"/>
      <c r="Q97" s="25"/>
      <c r="R97" s="49" t="s">
        <v>189</v>
      </c>
      <c r="S97" s="53"/>
    </row>
    <row r="98" spans="1:19" ht="27.75" customHeight="1" thickBot="1" x14ac:dyDescent="0.3">
      <c r="A98" s="307"/>
      <c r="B98" s="309"/>
      <c r="C98" s="22"/>
      <c r="D98" s="23"/>
      <c r="E98" s="23"/>
      <c r="F98" s="23"/>
      <c r="G98" s="23"/>
      <c r="H98" s="23"/>
      <c r="I98" s="279"/>
      <c r="J98" s="49" t="s">
        <v>190</v>
      </c>
      <c r="K98" s="24" t="s">
        <v>22</v>
      </c>
      <c r="L98" s="94">
        <v>4700</v>
      </c>
      <c r="M98" s="114">
        <v>5042</v>
      </c>
      <c r="N98" s="25"/>
      <c r="O98" s="25"/>
      <c r="P98" s="25"/>
      <c r="Q98" s="25"/>
      <c r="R98" s="49" t="s">
        <v>191</v>
      </c>
      <c r="S98" s="53"/>
    </row>
    <row r="99" spans="1:19" ht="48" customHeight="1" x14ac:dyDescent="0.25">
      <c r="A99" s="306" t="s">
        <v>192</v>
      </c>
      <c r="B99" s="308" t="s">
        <v>193</v>
      </c>
      <c r="C99" s="17"/>
      <c r="D99" s="18">
        <f>SUM(D100:D101)</f>
        <v>360.7</v>
      </c>
      <c r="E99" s="18">
        <f>SUM(E100:E101)</f>
        <v>360.7</v>
      </c>
      <c r="F99" s="18">
        <f>SUM(F100:F101)</f>
        <v>171.9</v>
      </c>
      <c r="G99" s="18">
        <f>SUM(G100:G101)</f>
        <v>188.79999999999998</v>
      </c>
      <c r="H99" s="18">
        <f>SUM(H100:H101)</f>
        <v>188.79999999999998</v>
      </c>
      <c r="I99" s="261">
        <f t="shared" si="6"/>
        <v>0.47657332963681731</v>
      </c>
      <c r="J99" s="314" t="s">
        <v>194</v>
      </c>
      <c r="K99" s="323" t="s">
        <v>29</v>
      </c>
      <c r="L99" s="323">
        <v>100</v>
      </c>
      <c r="M99" s="347">
        <v>100</v>
      </c>
      <c r="N99" s="20"/>
      <c r="O99" s="20"/>
      <c r="P99" s="20"/>
      <c r="Q99" s="20"/>
      <c r="R99" s="308" t="s">
        <v>1792</v>
      </c>
      <c r="S99" s="317"/>
    </row>
    <row r="100" spans="1:19" x14ac:dyDescent="0.25">
      <c r="A100" s="406"/>
      <c r="B100" s="310"/>
      <c r="C100" s="22" t="s">
        <v>30</v>
      </c>
      <c r="D100" s="23">
        <v>146.1</v>
      </c>
      <c r="E100" s="23">
        <v>146.1</v>
      </c>
      <c r="F100" s="23">
        <v>146</v>
      </c>
      <c r="G100" s="23">
        <v>0.1</v>
      </c>
      <c r="H100" s="54">
        <v>0.1</v>
      </c>
      <c r="I100" s="262">
        <f t="shared" si="6"/>
        <v>0.99931553730321698</v>
      </c>
      <c r="J100" s="315"/>
      <c r="K100" s="324"/>
      <c r="L100" s="324"/>
      <c r="M100" s="348"/>
      <c r="N100" s="25"/>
      <c r="O100" s="25"/>
      <c r="P100" s="25"/>
      <c r="Q100" s="25"/>
      <c r="R100" s="310"/>
      <c r="S100" s="318"/>
    </row>
    <row r="101" spans="1:19" ht="15.75" thickBot="1" x14ac:dyDescent="0.3">
      <c r="A101" s="307"/>
      <c r="B101" s="309"/>
      <c r="C101" s="22" t="s">
        <v>32</v>
      </c>
      <c r="D101" s="23">
        <v>214.6</v>
      </c>
      <c r="E101" s="23">
        <v>214.6</v>
      </c>
      <c r="F101" s="23">
        <v>25.9</v>
      </c>
      <c r="G101" s="23">
        <v>188.7</v>
      </c>
      <c r="H101" s="23">
        <v>188.7</v>
      </c>
      <c r="I101" s="279">
        <f t="shared" si="6"/>
        <v>0.12068965517241378</v>
      </c>
      <c r="J101" s="316"/>
      <c r="K101" s="325"/>
      <c r="L101" s="325"/>
      <c r="M101" s="349"/>
      <c r="N101" s="25"/>
      <c r="O101" s="25"/>
      <c r="P101" s="25"/>
      <c r="Q101" s="25"/>
      <c r="R101" s="309"/>
      <c r="S101" s="319"/>
    </row>
    <row r="102" spans="1:19" ht="39.6" customHeight="1" x14ac:dyDescent="0.25">
      <c r="A102" s="306" t="s">
        <v>195</v>
      </c>
      <c r="B102" s="308" t="s">
        <v>196</v>
      </c>
      <c r="C102" s="17"/>
      <c r="D102" s="18">
        <f>SUM(D103:D103)</f>
        <v>190.3</v>
      </c>
      <c r="E102" s="18">
        <f>SUM(E103:E103)</f>
        <v>190.3</v>
      </c>
      <c r="F102" s="18">
        <f>SUM(F103:F103)</f>
        <v>138.5</v>
      </c>
      <c r="G102" s="18">
        <f>SUM(G103:G103)</f>
        <v>51.8</v>
      </c>
      <c r="H102" s="18">
        <f>SUM(H103:H103)</f>
        <v>51.8</v>
      </c>
      <c r="I102" s="264">
        <f t="shared" si="6"/>
        <v>0.72779821334734629</v>
      </c>
      <c r="J102" s="308" t="s">
        <v>194</v>
      </c>
      <c r="K102" s="323" t="s">
        <v>29</v>
      </c>
      <c r="L102" s="323">
        <v>50</v>
      </c>
      <c r="M102" s="347">
        <v>50</v>
      </c>
      <c r="N102" s="20"/>
      <c r="O102" s="20"/>
      <c r="P102" s="20"/>
      <c r="Q102" s="20"/>
      <c r="R102" s="308" t="s">
        <v>197</v>
      </c>
      <c r="S102" s="462"/>
    </row>
    <row r="103" spans="1:19" ht="15.75" thickBot="1" x14ac:dyDescent="0.3">
      <c r="A103" s="307"/>
      <c r="B103" s="309"/>
      <c r="C103" s="22" t="s">
        <v>30</v>
      </c>
      <c r="D103" s="23">
        <v>190.3</v>
      </c>
      <c r="E103" s="23">
        <v>190.3</v>
      </c>
      <c r="F103" s="23">
        <v>138.5</v>
      </c>
      <c r="G103" s="23">
        <v>51.8</v>
      </c>
      <c r="H103" s="23">
        <v>51.8</v>
      </c>
      <c r="I103" s="279">
        <f t="shared" si="6"/>
        <v>0.72779821334734629</v>
      </c>
      <c r="J103" s="309"/>
      <c r="K103" s="325"/>
      <c r="L103" s="325"/>
      <c r="M103" s="349"/>
      <c r="N103" s="25"/>
      <c r="O103" s="25"/>
      <c r="P103" s="25"/>
      <c r="Q103" s="25"/>
      <c r="R103" s="309"/>
      <c r="S103" s="423"/>
    </row>
    <row r="104" spans="1:19" ht="93" customHeight="1" x14ac:dyDescent="0.25">
      <c r="A104" s="306" t="s">
        <v>198</v>
      </c>
      <c r="B104" s="308" t="s">
        <v>199</v>
      </c>
      <c r="C104" s="17"/>
      <c r="D104" s="18">
        <f>SUM(D105:D105)</f>
        <v>35.1</v>
      </c>
      <c r="E104" s="18">
        <f>SUM(E105:E105)</f>
        <v>35.1</v>
      </c>
      <c r="F104" s="18">
        <f>SUM(F105:F105)</f>
        <v>35.1</v>
      </c>
      <c r="G104" s="18"/>
      <c r="H104" s="18"/>
      <c r="I104" s="264">
        <f t="shared" si="6"/>
        <v>1</v>
      </c>
      <c r="J104" s="308" t="s">
        <v>200</v>
      </c>
      <c r="K104" s="323" t="s">
        <v>29</v>
      </c>
      <c r="L104" s="323">
        <v>100</v>
      </c>
      <c r="M104" s="347">
        <v>100</v>
      </c>
      <c r="N104" s="20"/>
      <c r="O104" s="20"/>
      <c r="P104" s="20"/>
      <c r="Q104" s="20"/>
      <c r="R104" s="308" t="s">
        <v>201</v>
      </c>
      <c r="S104" s="303"/>
    </row>
    <row r="105" spans="1:19" ht="15.75" thickBot="1" x14ac:dyDescent="0.3">
      <c r="A105" s="307"/>
      <c r="B105" s="309"/>
      <c r="C105" s="22" t="s">
        <v>32</v>
      </c>
      <c r="D105" s="23">
        <v>35.1</v>
      </c>
      <c r="E105" s="23">
        <v>35.1</v>
      </c>
      <c r="F105" s="23">
        <v>35.1</v>
      </c>
      <c r="G105" s="23"/>
      <c r="H105" s="23"/>
      <c r="I105" s="279">
        <f t="shared" si="6"/>
        <v>1</v>
      </c>
      <c r="J105" s="309"/>
      <c r="K105" s="325"/>
      <c r="L105" s="325"/>
      <c r="M105" s="349"/>
      <c r="N105" s="25"/>
      <c r="O105" s="25"/>
      <c r="P105" s="25"/>
      <c r="Q105" s="25"/>
      <c r="R105" s="309"/>
      <c r="S105" s="305"/>
    </row>
    <row r="106" spans="1:19" ht="90.75" customHeight="1" x14ac:dyDescent="0.25">
      <c r="A106" s="306" t="s">
        <v>202</v>
      </c>
      <c r="B106" s="308" t="s">
        <v>203</v>
      </c>
      <c r="C106" s="17"/>
      <c r="D106" s="18">
        <f>SUM(D107:D109)</f>
        <v>495.20000000000005</v>
      </c>
      <c r="E106" s="18">
        <f>SUM(E107:E109)</f>
        <v>495.20000000000005</v>
      </c>
      <c r="F106" s="18">
        <f>SUM(F107:F109)</f>
        <v>347.4</v>
      </c>
      <c r="G106" s="18">
        <f>SUM(G107:G109)</f>
        <v>147.80000000000001</v>
      </c>
      <c r="H106" s="18">
        <f>SUM(H107:H109)</f>
        <v>147.80000000000001</v>
      </c>
      <c r="I106" s="261">
        <f t="shared" si="6"/>
        <v>0.70153473344103379</v>
      </c>
      <c r="J106" s="48" t="s">
        <v>204</v>
      </c>
      <c r="K106" s="19" t="s">
        <v>29</v>
      </c>
      <c r="L106" s="19">
        <v>70</v>
      </c>
      <c r="M106" s="112">
        <v>8</v>
      </c>
      <c r="N106" s="20"/>
      <c r="O106" s="20"/>
      <c r="P106" s="20"/>
      <c r="Q106" s="20"/>
      <c r="R106" s="146" t="s">
        <v>1793</v>
      </c>
      <c r="S106" s="52" t="s">
        <v>1794</v>
      </c>
    </row>
    <row r="107" spans="1:19" ht="56.25" customHeight="1" x14ac:dyDescent="0.25">
      <c r="A107" s="406"/>
      <c r="B107" s="310"/>
      <c r="C107" s="22" t="s">
        <v>30</v>
      </c>
      <c r="D107" s="23">
        <v>149.30000000000001</v>
      </c>
      <c r="E107" s="23">
        <v>149.30000000000001</v>
      </c>
      <c r="F107" s="23">
        <v>149.30000000000001</v>
      </c>
      <c r="G107" s="23"/>
      <c r="H107" s="54"/>
      <c r="I107" s="262">
        <f t="shared" si="6"/>
        <v>1</v>
      </c>
      <c r="J107" s="55" t="s">
        <v>205</v>
      </c>
      <c r="K107" s="24" t="s">
        <v>29</v>
      </c>
      <c r="L107" s="24">
        <v>100</v>
      </c>
      <c r="M107" s="104">
        <v>100</v>
      </c>
      <c r="N107" s="25"/>
      <c r="O107" s="25"/>
      <c r="P107" s="25"/>
      <c r="Q107" s="25"/>
      <c r="R107" s="49" t="s">
        <v>206</v>
      </c>
      <c r="S107" s="53"/>
    </row>
    <row r="108" spans="1:19" ht="53.25" customHeight="1" x14ac:dyDescent="0.25">
      <c r="A108" s="406"/>
      <c r="B108" s="310"/>
      <c r="C108" s="22" t="s">
        <v>32</v>
      </c>
      <c r="D108" s="23">
        <v>308.8</v>
      </c>
      <c r="E108" s="23">
        <v>308.8</v>
      </c>
      <c r="F108" s="23">
        <v>198.1</v>
      </c>
      <c r="G108" s="23">
        <v>110.7</v>
      </c>
      <c r="H108" s="54">
        <v>110.7</v>
      </c>
      <c r="I108" s="262">
        <f t="shared" si="6"/>
        <v>0.64151554404145072</v>
      </c>
      <c r="J108" s="333" t="s">
        <v>207</v>
      </c>
      <c r="K108" s="334" t="s">
        <v>29</v>
      </c>
      <c r="L108" s="334">
        <v>100</v>
      </c>
      <c r="M108" s="372">
        <v>95</v>
      </c>
      <c r="N108" s="25"/>
      <c r="O108" s="25"/>
      <c r="P108" s="25"/>
      <c r="Q108" s="25"/>
      <c r="R108" s="373" t="s">
        <v>1795</v>
      </c>
      <c r="S108" s="374" t="s">
        <v>1796</v>
      </c>
    </row>
    <row r="109" spans="1:19" ht="13.5" customHeight="1" thickBot="1" x14ac:dyDescent="0.3">
      <c r="A109" s="307"/>
      <c r="B109" s="309"/>
      <c r="C109" s="22" t="s">
        <v>208</v>
      </c>
      <c r="D109" s="23">
        <v>37.1</v>
      </c>
      <c r="E109" s="23">
        <v>37.1</v>
      </c>
      <c r="F109" s="23"/>
      <c r="G109" s="23">
        <v>37.1</v>
      </c>
      <c r="H109" s="23">
        <v>37.1</v>
      </c>
      <c r="I109" s="279">
        <f t="shared" si="6"/>
        <v>0</v>
      </c>
      <c r="J109" s="316"/>
      <c r="K109" s="325"/>
      <c r="L109" s="325"/>
      <c r="M109" s="356"/>
      <c r="N109" s="25"/>
      <c r="O109" s="25"/>
      <c r="P109" s="25"/>
      <c r="Q109" s="25"/>
      <c r="R109" s="362"/>
      <c r="S109" s="327"/>
    </row>
    <row r="110" spans="1:19" ht="0.75" hidden="1" customHeight="1" thickBot="1" x14ac:dyDescent="0.3">
      <c r="A110" s="16" t="s">
        <v>209</v>
      </c>
      <c r="B110" s="42" t="s">
        <v>210</v>
      </c>
      <c r="C110" s="17"/>
      <c r="D110" s="26"/>
      <c r="E110" s="26"/>
      <c r="F110" s="26"/>
      <c r="G110" s="26"/>
      <c r="H110" s="26"/>
      <c r="I110" s="264"/>
      <c r="J110" s="48" t="s">
        <v>194</v>
      </c>
      <c r="K110" s="19" t="s">
        <v>29</v>
      </c>
      <c r="L110" s="19"/>
      <c r="M110" s="19"/>
      <c r="N110" s="20"/>
      <c r="O110" s="20"/>
      <c r="P110" s="20" t="s">
        <v>23</v>
      </c>
      <c r="Q110" s="20" t="s">
        <v>23</v>
      </c>
      <c r="R110" s="48"/>
      <c r="S110" s="52"/>
    </row>
    <row r="111" spans="1:19" ht="39" thickBot="1" x14ac:dyDescent="0.3">
      <c r="A111" s="16" t="s">
        <v>211</v>
      </c>
      <c r="B111" s="42" t="s">
        <v>212</v>
      </c>
      <c r="C111" s="17" t="s">
        <v>32</v>
      </c>
      <c r="D111" s="26">
        <v>42</v>
      </c>
      <c r="E111" s="26">
        <v>42</v>
      </c>
      <c r="F111" s="26">
        <v>42</v>
      </c>
      <c r="G111" s="26"/>
      <c r="H111" s="26"/>
      <c r="I111" s="264">
        <f t="shared" si="6"/>
        <v>1</v>
      </c>
      <c r="J111" s="48" t="s">
        <v>194</v>
      </c>
      <c r="K111" s="19" t="s">
        <v>29</v>
      </c>
      <c r="L111" s="19">
        <v>100</v>
      </c>
      <c r="M111" s="111">
        <v>100</v>
      </c>
      <c r="N111" s="20"/>
      <c r="O111" s="20"/>
      <c r="P111" s="20"/>
      <c r="Q111" s="20"/>
      <c r="R111" s="48" t="s">
        <v>213</v>
      </c>
      <c r="S111" s="52"/>
    </row>
    <row r="112" spans="1:19" ht="38.25" x14ac:dyDescent="0.25">
      <c r="A112" s="458" t="s">
        <v>214</v>
      </c>
      <c r="B112" s="449" t="s">
        <v>215</v>
      </c>
      <c r="C112" s="9"/>
      <c r="D112" s="10">
        <f>D113+D114+D115+D116+D123</f>
        <v>388.59999999999997</v>
      </c>
      <c r="E112" s="10">
        <f>E113+E114+E115+E116+E123</f>
        <v>388.59999999999997</v>
      </c>
      <c r="F112" s="10">
        <f>F113+F114+F115+F116+F123</f>
        <v>384.99999999999994</v>
      </c>
      <c r="G112" s="10">
        <f>G113+G114+G115+G116+G123</f>
        <v>3.6</v>
      </c>
      <c r="H112" s="10">
        <f>H113+H114+H115+H116+H123</f>
        <v>3.6</v>
      </c>
      <c r="I112" s="259">
        <f>SUM(F112/E112)</f>
        <v>0.99073597529593405</v>
      </c>
      <c r="J112" s="47" t="s">
        <v>216</v>
      </c>
      <c r="K112" s="11" t="s">
        <v>29</v>
      </c>
      <c r="L112" s="11">
        <v>1.5</v>
      </c>
      <c r="M112" s="11">
        <v>1.4</v>
      </c>
      <c r="N112" s="12"/>
      <c r="O112" s="12"/>
      <c r="P112" s="12"/>
      <c r="Q112" s="12"/>
      <c r="R112" s="400"/>
      <c r="S112" s="401"/>
    </row>
    <row r="113" spans="1:23" ht="51" x14ac:dyDescent="0.25">
      <c r="A113" s="459"/>
      <c r="B113" s="450"/>
      <c r="C113" s="65"/>
      <c r="D113" s="66"/>
      <c r="E113" s="66"/>
      <c r="F113" s="66"/>
      <c r="G113" s="66"/>
      <c r="H113" s="66"/>
      <c r="I113" s="280"/>
      <c r="J113" s="64" t="s">
        <v>217</v>
      </c>
      <c r="K113" s="62" t="s">
        <v>22</v>
      </c>
      <c r="L113" s="62">
        <v>17</v>
      </c>
      <c r="M113" s="62">
        <v>17</v>
      </c>
      <c r="N113" s="63"/>
      <c r="O113" s="63"/>
      <c r="P113" s="63"/>
      <c r="Q113" s="63"/>
      <c r="R113" s="404"/>
      <c r="S113" s="405"/>
    </row>
    <row r="114" spans="1:23" ht="51" x14ac:dyDescent="0.25">
      <c r="A114" s="459"/>
      <c r="B114" s="450"/>
      <c r="C114" s="65"/>
      <c r="D114" s="66"/>
      <c r="E114" s="66"/>
      <c r="F114" s="66"/>
      <c r="G114" s="66"/>
      <c r="H114" s="66"/>
      <c r="I114" s="280"/>
      <c r="J114" s="64" t="s">
        <v>218</v>
      </c>
      <c r="K114" s="62" t="s">
        <v>219</v>
      </c>
      <c r="L114" s="95">
        <v>1500</v>
      </c>
      <c r="M114" s="95">
        <v>1500</v>
      </c>
      <c r="N114" s="63"/>
      <c r="O114" s="63"/>
      <c r="P114" s="63"/>
      <c r="Q114" s="63"/>
      <c r="R114" s="404"/>
      <c r="S114" s="405"/>
    </row>
    <row r="115" spans="1:23" ht="39" thickBot="1" x14ac:dyDescent="0.3">
      <c r="A115" s="460"/>
      <c r="B115" s="451"/>
      <c r="C115" s="65"/>
      <c r="D115" s="66"/>
      <c r="E115" s="66"/>
      <c r="F115" s="66"/>
      <c r="G115" s="66"/>
      <c r="H115" s="66"/>
      <c r="I115" s="280"/>
      <c r="J115" s="64" t="s">
        <v>220</v>
      </c>
      <c r="K115" s="62" t="s">
        <v>22</v>
      </c>
      <c r="L115" s="95">
        <v>1800</v>
      </c>
      <c r="M115" s="95">
        <v>1800</v>
      </c>
      <c r="N115" s="63"/>
      <c r="O115" s="63"/>
      <c r="P115" s="63"/>
      <c r="Q115" s="63"/>
      <c r="R115" s="402"/>
      <c r="S115" s="403"/>
    </row>
    <row r="116" spans="1:23" ht="26.25" thickBot="1" x14ac:dyDescent="0.3">
      <c r="A116" s="13" t="s">
        <v>221</v>
      </c>
      <c r="B116" s="41" t="s">
        <v>222</v>
      </c>
      <c r="C116" s="14"/>
      <c r="D116" s="15">
        <f>D117+D120+D121+D122</f>
        <v>377.09999999999997</v>
      </c>
      <c r="E116" s="15">
        <f>E117+E120+E121+E122</f>
        <v>377.09999999999997</v>
      </c>
      <c r="F116" s="15">
        <f>F117+F120+F121+F122</f>
        <v>373.49999999999994</v>
      </c>
      <c r="G116" s="15">
        <f>G117+G120+G121+G122</f>
        <v>3.6</v>
      </c>
      <c r="H116" s="15">
        <f>H117+H120+H121+H122</f>
        <v>3.6</v>
      </c>
      <c r="I116" s="260">
        <f>SUM(F116/E116)</f>
        <v>0.99045346062052497</v>
      </c>
      <c r="J116" s="329"/>
      <c r="K116" s="330"/>
      <c r="L116" s="330"/>
      <c r="M116" s="330"/>
      <c r="N116" s="330"/>
      <c r="O116" s="330"/>
      <c r="P116" s="330"/>
      <c r="Q116" s="330"/>
      <c r="R116" s="476"/>
      <c r="S116" s="51"/>
    </row>
    <row r="117" spans="1:23" ht="260.25" customHeight="1" x14ac:dyDescent="0.25">
      <c r="A117" s="306" t="s">
        <v>223</v>
      </c>
      <c r="B117" s="308" t="s">
        <v>224</v>
      </c>
      <c r="C117" s="17" t="s">
        <v>32</v>
      </c>
      <c r="D117" s="18">
        <f>SUM(D118:D119)+332.4</f>
        <v>332.4</v>
      </c>
      <c r="E117" s="18">
        <f>SUM(E118:E119)+332.4</f>
        <v>332.4</v>
      </c>
      <c r="F117" s="18">
        <f>SUM(F118:F119)+332.4</f>
        <v>332.4</v>
      </c>
      <c r="G117" s="18"/>
      <c r="H117" s="18"/>
      <c r="I117" s="261">
        <f t="shared" ref="I117:I122" si="7">SUM(F117/E117)</f>
        <v>1</v>
      </c>
      <c r="J117" s="48" t="s">
        <v>225</v>
      </c>
      <c r="K117" s="19" t="s">
        <v>22</v>
      </c>
      <c r="L117" s="19">
        <v>17</v>
      </c>
      <c r="M117" s="111">
        <v>17</v>
      </c>
      <c r="N117" s="20"/>
      <c r="O117" s="20"/>
      <c r="P117" s="20"/>
      <c r="Q117" s="20"/>
      <c r="R117" s="48" t="s">
        <v>226</v>
      </c>
      <c r="S117" s="52"/>
    </row>
    <row r="118" spans="1:23" ht="130.5" customHeight="1" x14ac:dyDescent="0.25">
      <c r="A118" s="406"/>
      <c r="B118" s="310"/>
      <c r="C118" s="22"/>
      <c r="D118" s="23"/>
      <c r="E118" s="23"/>
      <c r="F118" s="23"/>
      <c r="G118" s="23"/>
      <c r="H118" s="54"/>
      <c r="I118" s="262"/>
      <c r="J118" s="55" t="s">
        <v>218</v>
      </c>
      <c r="K118" s="24" t="s">
        <v>219</v>
      </c>
      <c r="L118" s="94">
        <v>1500</v>
      </c>
      <c r="M118" s="219">
        <v>1746</v>
      </c>
      <c r="N118" s="25"/>
      <c r="O118" s="25"/>
      <c r="P118" s="25"/>
      <c r="Q118" s="25"/>
      <c r="R118" s="49" t="s">
        <v>227</v>
      </c>
      <c r="S118" s="53"/>
    </row>
    <row r="119" spans="1:23" ht="120.75" customHeight="1" thickBot="1" x14ac:dyDescent="0.3">
      <c r="A119" s="307"/>
      <c r="B119" s="309"/>
      <c r="C119" s="22"/>
      <c r="D119" s="23"/>
      <c r="E119" s="23"/>
      <c r="F119" s="23"/>
      <c r="G119" s="23"/>
      <c r="H119" s="23"/>
      <c r="I119" s="279"/>
      <c r="J119" s="49" t="s">
        <v>220</v>
      </c>
      <c r="K119" s="24" t="s">
        <v>219</v>
      </c>
      <c r="L119" s="94">
        <v>1800</v>
      </c>
      <c r="M119" s="114">
        <v>2417</v>
      </c>
      <c r="N119" s="25"/>
      <c r="O119" s="25"/>
      <c r="P119" s="25"/>
      <c r="Q119" s="25"/>
      <c r="R119" s="49" t="s">
        <v>228</v>
      </c>
      <c r="S119" s="53"/>
    </row>
    <row r="120" spans="1:23" ht="39" hidden="1" thickBot="1" x14ac:dyDescent="0.3">
      <c r="A120" s="16" t="s">
        <v>229</v>
      </c>
      <c r="B120" s="42" t="s">
        <v>230</v>
      </c>
      <c r="C120" s="17" t="s">
        <v>32</v>
      </c>
      <c r="D120" s="26"/>
      <c r="E120" s="26"/>
      <c r="F120" s="26"/>
      <c r="G120" s="26"/>
      <c r="H120" s="26"/>
      <c r="I120" s="264"/>
      <c r="J120" s="48" t="s">
        <v>231</v>
      </c>
      <c r="K120" s="19" t="s">
        <v>29</v>
      </c>
      <c r="L120" s="19">
        <v>0</v>
      </c>
      <c r="M120" s="19">
        <v>0</v>
      </c>
      <c r="N120" s="20"/>
      <c r="O120" s="20"/>
      <c r="P120" s="20"/>
      <c r="Q120" s="20"/>
      <c r="R120" s="48"/>
      <c r="S120" s="52"/>
    </row>
    <row r="121" spans="1:23" ht="168" customHeight="1" thickBot="1" x14ac:dyDescent="0.3">
      <c r="A121" s="16" t="s">
        <v>232</v>
      </c>
      <c r="B121" s="42" t="s">
        <v>233</v>
      </c>
      <c r="C121" s="17" t="s">
        <v>32</v>
      </c>
      <c r="D121" s="26">
        <v>41.8</v>
      </c>
      <c r="E121" s="26">
        <v>41.8</v>
      </c>
      <c r="F121" s="26">
        <v>38.200000000000003</v>
      </c>
      <c r="G121" s="26">
        <v>3.6</v>
      </c>
      <c r="H121" s="26">
        <v>3.6</v>
      </c>
      <c r="I121" s="264">
        <f t="shared" si="7"/>
        <v>0.91387559808612451</v>
      </c>
      <c r="J121" s="48" t="s">
        <v>231</v>
      </c>
      <c r="K121" s="19" t="s">
        <v>29</v>
      </c>
      <c r="L121" s="19">
        <v>31</v>
      </c>
      <c r="M121" s="111">
        <v>31</v>
      </c>
      <c r="N121" s="20"/>
      <c r="O121" s="20"/>
      <c r="P121" s="20"/>
      <c r="Q121" s="20"/>
      <c r="R121" s="48" t="s">
        <v>234</v>
      </c>
      <c r="S121" s="120"/>
    </row>
    <row r="122" spans="1:23" ht="145.5" customHeight="1" thickBot="1" x14ac:dyDescent="0.3">
      <c r="A122" s="16" t="s">
        <v>235</v>
      </c>
      <c r="B122" s="42" t="s">
        <v>236</v>
      </c>
      <c r="C122" s="17" t="s">
        <v>32</v>
      </c>
      <c r="D122" s="26">
        <v>2.9</v>
      </c>
      <c r="E122" s="26">
        <v>2.9</v>
      </c>
      <c r="F122" s="26">
        <v>2.9</v>
      </c>
      <c r="G122" s="26"/>
      <c r="H122" s="26"/>
      <c r="I122" s="264">
        <f t="shared" si="7"/>
        <v>1</v>
      </c>
      <c r="J122" s="48" t="s">
        <v>231</v>
      </c>
      <c r="K122" s="19" t="s">
        <v>29</v>
      </c>
      <c r="L122" s="19">
        <v>0</v>
      </c>
      <c r="M122" s="108">
        <v>6</v>
      </c>
      <c r="N122" s="20" t="s">
        <v>23</v>
      </c>
      <c r="O122" s="20" t="s">
        <v>23</v>
      </c>
      <c r="P122" s="20"/>
      <c r="Q122" s="20"/>
      <c r="R122" s="48" t="s">
        <v>237</v>
      </c>
      <c r="S122" s="52"/>
    </row>
    <row r="123" spans="1:23" ht="39" thickBot="1" x14ac:dyDescent="0.3">
      <c r="A123" s="13" t="s">
        <v>238</v>
      </c>
      <c r="B123" s="41" t="s">
        <v>239</v>
      </c>
      <c r="C123" s="14"/>
      <c r="D123" s="15">
        <f>SUM(D124:D125)</f>
        <v>11.5</v>
      </c>
      <c r="E123" s="15">
        <f>SUM(E124:E125)</f>
        <v>11.5</v>
      </c>
      <c r="F123" s="15">
        <f>SUM(F124:F125)</f>
        <v>11.5</v>
      </c>
      <c r="G123" s="15"/>
      <c r="H123" s="15"/>
      <c r="I123" s="260">
        <f>SUM(F123/E123)</f>
        <v>1</v>
      </c>
      <c r="J123" s="329"/>
      <c r="K123" s="330"/>
      <c r="L123" s="330"/>
      <c r="M123" s="330"/>
      <c r="N123" s="330"/>
      <c r="O123" s="330"/>
      <c r="P123" s="330"/>
      <c r="Q123" s="330"/>
      <c r="R123" s="330"/>
      <c r="S123" s="331"/>
    </row>
    <row r="124" spans="1:23" ht="81.75" customHeight="1" thickBot="1" x14ac:dyDescent="0.3">
      <c r="A124" s="16" t="s">
        <v>240</v>
      </c>
      <c r="B124" s="42" t="s">
        <v>241</v>
      </c>
      <c r="C124" s="17" t="s">
        <v>32</v>
      </c>
      <c r="D124" s="26">
        <v>1.5</v>
      </c>
      <c r="E124" s="26">
        <v>1.5</v>
      </c>
      <c r="F124" s="26">
        <v>1.5</v>
      </c>
      <c r="G124" s="26"/>
      <c r="H124" s="26"/>
      <c r="I124" s="264">
        <f t="shared" ref="I124:I125" si="8">SUM(F124/E124)</f>
        <v>1</v>
      </c>
      <c r="J124" s="48" t="s">
        <v>242</v>
      </c>
      <c r="K124" s="19" t="s">
        <v>22</v>
      </c>
      <c r="L124" s="19">
        <v>1</v>
      </c>
      <c r="M124" s="111">
        <v>1</v>
      </c>
      <c r="N124" s="20"/>
      <c r="O124" s="20"/>
      <c r="P124" s="20"/>
      <c r="Q124" s="20"/>
      <c r="R124" s="48" t="s">
        <v>243</v>
      </c>
      <c r="S124" s="52"/>
    </row>
    <row r="125" spans="1:23" ht="121.5" customHeight="1" thickBot="1" x14ac:dyDescent="0.3">
      <c r="A125" s="16" t="s">
        <v>244</v>
      </c>
      <c r="B125" s="42" t="s">
        <v>245</v>
      </c>
      <c r="C125" s="17" t="s">
        <v>32</v>
      </c>
      <c r="D125" s="26">
        <v>10</v>
      </c>
      <c r="E125" s="26">
        <v>10</v>
      </c>
      <c r="F125" s="26">
        <v>10</v>
      </c>
      <c r="G125" s="26"/>
      <c r="H125" s="26"/>
      <c r="I125" s="264">
        <f t="shared" si="8"/>
        <v>1</v>
      </c>
      <c r="J125" s="48" t="s">
        <v>246</v>
      </c>
      <c r="K125" s="19" t="s">
        <v>22</v>
      </c>
      <c r="L125" s="19">
        <v>1</v>
      </c>
      <c r="M125" s="111">
        <v>1</v>
      </c>
      <c r="N125" s="20"/>
      <c r="O125" s="20"/>
      <c r="P125" s="20"/>
      <c r="Q125" s="20"/>
      <c r="R125" s="48" t="s">
        <v>247</v>
      </c>
      <c r="S125" s="52"/>
    </row>
    <row r="126" spans="1:23" ht="28.15" customHeight="1" thickBot="1" x14ac:dyDescent="0.3">
      <c r="A126" s="5" t="s">
        <v>248</v>
      </c>
      <c r="B126" s="39" t="s">
        <v>249</v>
      </c>
      <c r="C126" s="6"/>
      <c r="D126" s="7">
        <f>SUM(D127:D127)</f>
        <v>7748.6</v>
      </c>
      <c r="E126" s="7">
        <f>SUM(E127:E127)</f>
        <v>7748.6</v>
      </c>
      <c r="F126" s="7">
        <f>SUM(F127:F127)</f>
        <v>7258.9000000000005</v>
      </c>
      <c r="G126" s="7">
        <f>SUM(G127:G127)</f>
        <v>489.69999999999993</v>
      </c>
      <c r="H126" s="7">
        <f>SUM(H127:H127)</f>
        <v>489.69999999999993</v>
      </c>
      <c r="I126" s="258">
        <f>SUM(F126/E126)</f>
        <v>0.93680148672018171</v>
      </c>
      <c r="J126" s="452"/>
      <c r="K126" s="453"/>
      <c r="L126" s="453"/>
      <c r="M126" s="453"/>
      <c r="N126" s="453"/>
      <c r="O126" s="453"/>
      <c r="P126" s="453"/>
      <c r="Q126" s="453"/>
      <c r="R126" s="453"/>
      <c r="S126" s="454"/>
      <c r="U126" s="240"/>
      <c r="V126" s="241" t="s">
        <v>1</v>
      </c>
      <c r="W126" s="251" t="s">
        <v>1937</v>
      </c>
    </row>
    <row r="127" spans="1:23" ht="64.5" thickBot="1" x14ac:dyDescent="0.3">
      <c r="A127" s="8" t="s">
        <v>250</v>
      </c>
      <c r="B127" s="40" t="s">
        <v>251</v>
      </c>
      <c r="C127" s="9"/>
      <c r="D127" s="10">
        <f>D128+D143+D151+D166+D171</f>
        <v>7748.6</v>
      </c>
      <c r="E127" s="10">
        <f>E128+E143+E151+E166+E171</f>
        <v>7748.6</v>
      </c>
      <c r="F127" s="10">
        <f>F128+F143+F151+F166+F171+0.1</f>
        <v>7258.9000000000005</v>
      </c>
      <c r="G127" s="10">
        <f>G128+G143+G151+G166+G171-0.1</f>
        <v>489.69999999999993</v>
      </c>
      <c r="H127" s="10">
        <f>H128+H143+H151+H166+H171-0.1</f>
        <v>489.69999999999993</v>
      </c>
      <c r="I127" s="259">
        <f>SUM(F127/E127)</f>
        <v>0.93680148672018171</v>
      </c>
      <c r="J127" s="47" t="s">
        <v>252</v>
      </c>
      <c r="K127" s="11" t="s">
        <v>253</v>
      </c>
      <c r="L127" s="96">
        <v>36000</v>
      </c>
      <c r="M127" s="97">
        <v>38698.269999999997</v>
      </c>
      <c r="N127" s="12"/>
      <c r="O127" s="12"/>
      <c r="P127" s="12"/>
      <c r="Q127" s="12"/>
      <c r="R127" s="370"/>
      <c r="S127" s="371"/>
      <c r="U127" s="242"/>
      <c r="V127" s="243" t="s">
        <v>1930</v>
      </c>
      <c r="W127" s="244">
        <v>6</v>
      </c>
    </row>
    <row r="128" spans="1:23" ht="46.9" customHeight="1" thickBot="1" x14ac:dyDescent="0.3">
      <c r="A128" s="13" t="s">
        <v>254</v>
      </c>
      <c r="B128" s="41" t="s">
        <v>255</v>
      </c>
      <c r="C128" s="14"/>
      <c r="D128" s="15">
        <f>D129+D135+D137+D140</f>
        <v>5991.9000000000005</v>
      </c>
      <c r="E128" s="15">
        <f>E129+E135+E137+E140</f>
        <v>5991.9000000000005</v>
      </c>
      <c r="F128" s="15">
        <f>F129+F135+F137+F140-0.1</f>
        <v>5806.8</v>
      </c>
      <c r="G128" s="15">
        <f>G129+G135+G137+G140+0.1</f>
        <v>185.1</v>
      </c>
      <c r="H128" s="15">
        <f>H129+H135+H137+H140+0.1</f>
        <v>185.1</v>
      </c>
      <c r="I128" s="260">
        <f>SUM(F128/E128)</f>
        <v>0.96910829619986971</v>
      </c>
      <c r="J128" s="329"/>
      <c r="K128" s="330"/>
      <c r="L128" s="330"/>
      <c r="M128" s="330"/>
      <c r="N128" s="330"/>
      <c r="O128" s="330"/>
      <c r="P128" s="330"/>
      <c r="Q128" s="330"/>
      <c r="R128" s="330"/>
      <c r="S128" s="331"/>
      <c r="U128" s="249"/>
      <c r="V128" s="243" t="s">
        <v>1931</v>
      </c>
      <c r="W128" s="244"/>
    </row>
    <row r="129" spans="1:23" ht="30.75" customHeight="1" thickBot="1" x14ac:dyDescent="0.3">
      <c r="A129" s="16" t="s">
        <v>256</v>
      </c>
      <c r="B129" s="42" t="s">
        <v>257</v>
      </c>
      <c r="C129" s="17"/>
      <c r="D129" s="18">
        <f>SUM(D130:D132)</f>
        <v>5130.1000000000004</v>
      </c>
      <c r="E129" s="18">
        <f>SUM(E130:E132)</f>
        <v>5130.1000000000004</v>
      </c>
      <c r="F129" s="18">
        <f>SUM(F130:F132)</f>
        <v>5130.1000000000004</v>
      </c>
      <c r="G129" s="18"/>
      <c r="H129" s="18"/>
      <c r="I129" s="264">
        <f t="shared" ref="I129:I142" si="9">SUM(F129/E129)</f>
        <v>1</v>
      </c>
      <c r="J129" s="48" t="s">
        <v>258</v>
      </c>
      <c r="K129" s="19" t="s">
        <v>253</v>
      </c>
      <c r="L129" s="98">
        <v>36000</v>
      </c>
      <c r="M129" s="129">
        <v>38698.269999999997</v>
      </c>
      <c r="N129" s="20"/>
      <c r="O129" s="20"/>
      <c r="P129" s="20"/>
      <c r="Q129" s="20"/>
      <c r="R129" s="48" t="s">
        <v>259</v>
      </c>
      <c r="S129" s="52"/>
      <c r="U129" s="245"/>
      <c r="V129" s="243" t="s">
        <v>1932</v>
      </c>
      <c r="W129" s="246">
        <v>3</v>
      </c>
    </row>
    <row r="130" spans="1:23" ht="28.5" customHeight="1" thickBot="1" x14ac:dyDescent="0.3">
      <c r="A130" s="16" t="s">
        <v>260</v>
      </c>
      <c r="B130" s="42" t="s">
        <v>261</v>
      </c>
      <c r="C130" s="17" t="s">
        <v>32</v>
      </c>
      <c r="D130" s="26">
        <v>286.39999999999998</v>
      </c>
      <c r="E130" s="26">
        <v>286.39999999999998</v>
      </c>
      <c r="F130" s="26">
        <v>286.39999999999998</v>
      </c>
      <c r="G130" s="26"/>
      <c r="H130" s="26"/>
      <c r="I130" s="264">
        <f t="shared" si="9"/>
        <v>1</v>
      </c>
      <c r="J130" s="48" t="s">
        <v>262</v>
      </c>
      <c r="K130" s="19" t="s">
        <v>29</v>
      </c>
      <c r="L130" s="19">
        <v>100</v>
      </c>
      <c r="M130" s="128">
        <v>100</v>
      </c>
      <c r="N130" s="20"/>
      <c r="O130" s="20"/>
      <c r="P130" s="20"/>
      <c r="Q130" s="20"/>
      <c r="R130" s="48"/>
      <c r="S130" s="52"/>
      <c r="U130" s="250"/>
      <c r="V130" s="243" t="s">
        <v>1933</v>
      </c>
      <c r="W130" s="246">
        <v>5</v>
      </c>
    </row>
    <row r="131" spans="1:23" ht="54" customHeight="1" thickBot="1" x14ac:dyDescent="0.3">
      <c r="A131" s="16" t="s">
        <v>263</v>
      </c>
      <c r="B131" s="42" t="s">
        <v>264</v>
      </c>
      <c r="C131" s="17" t="s">
        <v>32</v>
      </c>
      <c r="D131" s="26">
        <v>1457.8</v>
      </c>
      <c r="E131" s="26">
        <v>1457.8</v>
      </c>
      <c r="F131" s="26">
        <v>1457.8</v>
      </c>
      <c r="G131" s="26"/>
      <c r="H131" s="26"/>
      <c r="I131" s="264">
        <f t="shared" si="9"/>
        <v>1</v>
      </c>
      <c r="J131" s="48" t="s">
        <v>265</v>
      </c>
      <c r="K131" s="19" t="s">
        <v>253</v>
      </c>
      <c r="L131" s="98">
        <v>36000</v>
      </c>
      <c r="M131" s="130">
        <v>30785.72</v>
      </c>
      <c r="N131" s="20"/>
      <c r="O131" s="20"/>
      <c r="P131" s="20"/>
      <c r="Q131" s="20"/>
      <c r="R131" s="48"/>
      <c r="S131" s="52" t="s">
        <v>1681</v>
      </c>
      <c r="U131" s="247"/>
      <c r="V131" s="243" t="s">
        <v>1934</v>
      </c>
      <c r="W131" s="246"/>
    </row>
    <row r="132" spans="1:23" ht="18.75" customHeight="1" x14ac:dyDescent="0.25">
      <c r="A132" s="306" t="s">
        <v>266</v>
      </c>
      <c r="B132" s="308" t="s">
        <v>267</v>
      </c>
      <c r="C132" s="17"/>
      <c r="D132" s="18">
        <f>SUM(D133:D134)</f>
        <v>3385.9</v>
      </c>
      <c r="E132" s="18">
        <f>SUM(E133:E134)</f>
        <v>3385.9</v>
      </c>
      <c r="F132" s="18">
        <f>SUM(F133:F134)</f>
        <v>3385.9</v>
      </c>
      <c r="G132" s="18"/>
      <c r="H132" s="18"/>
      <c r="I132" s="261">
        <f t="shared" si="9"/>
        <v>1</v>
      </c>
      <c r="J132" s="314" t="s">
        <v>268</v>
      </c>
      <c r="K132" s="323" t="s">
        <v>253</v>
      </c>
      <c r="L132" s="340">
        <v>36000</v>
      </c>
      <c r="M132" s="375">
        <v>38698.269999999997</v>
      </c>
      <c r="N132" s="20"/>
      <c r="O132" s="20"/>
      <c r="P132" s="20"/>
      <c r="Q132" s="20"/>
      <c r="R132" s="297"/>
      <c r="S132" s="364" t="s">
        <v>1702</v>
      </c>
      <c r="U132" s="240"/>
      <c r="V132" s="248" t="s">
        <v>1935</v>
      </c>
      <c r="W132" s="246">
        <f>+SUM(W127:W131)</f>
        <v>14</v>
      </c>
    </row>
    <row r="133" spans="1:23" x14ac:dyDescent="0.25">
      <c r="A133" s="406"/>
      <c r="B133" s="310"/>
      <c r="C133" s="22" t="s">
        <v>32</v>
      </c>
      <c r="D133" s="23">
        <v>3187.8</v>
      </c>
      <c r="E133" s="23">
        <v>3187.8</v>
      </c>
      <c r="F133" s="23">
        <v>3187.8</v>
      </c>
      <c r="G133" s="23"/>
      <c r="H133" s="54"/>
      <c r="I133" s="262">
        <f t="shared" si="9"/>
        <v>1</v>
      </c>
      <c r="J133" s="315"/>
      <c r="K133" s="324"/>
      <c r="L133" s="341"/>
      <c r="M133" s="376"/>
      <c r="N133" s="25"/>
      <c r="O133" s="25"/>
      <c r="P133" s="25"/>
      <c r="Q133" s="25"/>
      <c r="R133" s="298"/>
      <c r="S133" s="365"/>
    </row>
    <row r="134" spans="1:23" ht="15.75" thickBot="1" x14ac:dyDescent="0.3">
      <c r="A134" s="307"/>
      <c r="B134" s="309"/>
      <c r="C134" s="22" t="s">
        <v>30</v>
      </c>
      <c r="D134" s="23">
        <v>198.1</v>
      </c>
      <c r="E134" s="23">
        <v>198.1</v>
      </c>
      <c r="F134" s="23">
        <v>198.1</v>
      </c>
      <c r="G134" s="23"/>
      <c r="H134" s="23"/>
      <c r="I134" s="279">
        <f t="shared" si="9"/>
        <v>1</v>
      </c>
      <c r="J134" s="316"/>
      <c r="K134" s="325"/>
      <c r="L134" s="342"/>
      <c r="M134" s="377"/>
      <c r="N134" s="25"/>
      <c r="O134" s="25"/>
      <c r="P134" s="25"/>
      <c r="Q134" s="25"/>
      <c r="R134" s="299"/>
      <c r="S134" s="366"/>
    </row>
    <row r="135" spans="1:23" ht="67.5" customHeight="1" x14ac:dyDescent="0.25">
      <c r="A135" s="306" t="s">
        <v>269</v>
      </c>
      <c r="B135" s="308" t="s">
        <v>270</v>
      </c>
      <c r="C135" s="17" t="s">
        <v>271</v>
      </c>
      <c r="D135" s="18">
        <f>SUM(D136:D136)+114</f>
        <v>114</v>
      </c>
      <c r="E135" s="18">
        <f>SUM(E136:E136)+114</f>
        <v>114</v>
      </c>
      <c r="F135" s="18">
        <f>SUM(F136:F136)+27.9</f>
        <v>27.9</v>
      </c>
      <c r="G135" s="18">
        <f>SUM(G136:G136)+86.1</f>
        <v>86.1</v>
      </c>
      <c r="H135" s="18">
        <f>SUM(H136:H136)+86.1</f>
        <v>86.1</v>
      </c>
      <c r="I135" s="264">
        <f t="shared" si="9"/>
        <v>0.24473684210526314</v>
      </c>
      <c r="J135" s="48" t="s">
        <v>272</v>
      </c>
      <c r="K135" s="19" t="s">
        <v>29</v>
      </c>
      <c r="L135" s="19">
        <v>100</v>
      </c>
      <c r="M135" s="111">
        <v>100</v>
      </c>
      <c r="N135" s="20"/>
      <c r="O135" s="20"/>
      <c r="P135" s="20"/>
      <c r="Q135" s="20"/>
      <c r="R135" s="308" t="s">
        <v>273</v>
      </c>
      <c r="S135" s="300"/>
    </row>
    <row r="136" spans="1:23" ht="24" customHeight="1" thickBot="1" x14ac:dyDescent="0.3">
      <c r="A136" s="307"/>
      <c r="B136" s="309"/>
      <c r="C136" s="22"/>
      <c r="D136" s="23"/>
      <c r="E136" s="23"/>
      <c r="F136" s="23"/>
      <c r="G136" s="23"/>
      <c r="H136" s="23"/>
      <c r="I136" s="279"/>
      <c r="J136" s="49" t="s">
        <v>274</v>
      </c>
      <c r="K136" s="24" t="s">
        <v>253</v>
      </c>
      <c r="L136" s="24">
        <v>100</v>
      </c>
      <c r="M136" s="110">
        <v>219.2</v>
      </c>
      <c r="N136" s="25"/>
      <c r="O136" s="25"/>
      <c r="P136" s="25"/>
      <c r="Q136" s="25"/>
      <c r="R136" s="309"/>
      <c r="S136" s="302"/>
    </row>
    <row r="137" spans="1:23" ht="54" customHeight="1" x14ac:dyDescent="0.25">
      <c r="A137" s="306" t="s">
        <v>275</v>
      </c>
      <c r="B137" s="308" t="s">
        <v>276</v>
      </c>
      <c r="C137" s="17"/>
      <c r="D137" s="18">
        <f>SUM(D138:D139)</f>
        <v>278.60000000000002</v>
      </c>
      <c r="E137" s="18">
        <f>SUM(E138:E139)</f>
        <v>278.60000000000002</v>
      </c>
      <c r="F137" s="18">
        <f>SUM(F138:F139)</f>
        <v>196.6</v>
      </c>
      <c r="G137" s="18">
        <f>SUM(G138:G139)</f>
        <v>82</v>
      </c>
      <c r="H137" s="18">
        <f>SUM(H138:H139)</f>
        <v>82</v>
      </c>
      <c r="I137" s="261">
        <f t="shared" si="9"/>
        <v>0.70567121320890158</v>
      </c>
      <c r="J137" s="48" t="s">
        <v>277</v>
      </c>
      <c r="K137" s="19" t="s">
        <v>22</v>
      </c>
      <c r="L137" s="19">
        <v>1</v>
      </c>
      <c r="M137" s="111">
        <v>1</v>
      </c>
      <c r="N137" s="20"/>
      <c r="O137" s="20"/>
      <c r="P137" s="20"/>
      <c r="Q137" s="20"/>
      <c r="R137" s="147"/>
      <c r="S137" s="161"/>
    </row>
    <row r="138" spans="1:23" ht="29.25" customHeight="1" x14ac:dyDescent="0.25">
      <c r="A138" s="406"/>
      <c r="B138" s="310"/>
      <c r="C138" s="22" t="s">
        <v>30</v>
      </c>
      <c r="D138" s="23">
        <v>228.6</v>
      </c>
      <c r="E138" s="23">
        <v>228.6</v>
      </c>
      <c r="F138" s="23">
        <v>196.6</v>
      </c>
      <c r="G138" s="23">
        <v>32</v>
      </c>
      <c r="H138" s="54">
        <v>32</v>
      </c>
      <c r="I138" s="262">
        <f t="shared" si="9"/>
        <v>0.86001749781277337</v>
      </c>
      <c r="J138" s="333" t="s">
        <v>278</v>
      </c>
      <c r="K138" s="334" t="s">
        <v>22</v>
      </c>
      <c r="L138" s="334">
        <v>2</v>
      </c>
      <c r="M138" s="353">
        <v>2</v>
      </c>
      <c r="N138" s="25"/>
      <c r="O138" s="25"/>
      <c r="P138" s="25"/>
      <c r="Q138" s="25"/>
      <c r="R138" s="379"/>
      <c r="S138" s="469"/>
    </row>
    <row r="139" spans="1:23" ht="15.75" thickBot="1" x14ac:dyDescent="0.3">
      <c r="A139" s="307"/>
      <c r="B139" s="309"/>
      <c r="C139" s="22" t="s">
        <v>32</v>
      </c>
      <c r="D139" s="23">
        <v>50</v>
      </c>
      <c r="E139" s="23">
        <v>50</v>
      </c>
      <c r="F139" s="23"/>
      <c r="G139" s="23">
        <v>50</v>
      </c>
      <c r="H139" s="23">
        <v>50</v>
      </c>
      <c r="I139" s="279">
        <f t="shared" si="9"/>
        <v>0</v>
      </c>
      <c r="J139" s="316"/>
      <c r="K139" s="325"/>
      <c r="L139" s="325"/>
      <c r="M139" s="349"/>
      <c r="N139" s="25"/>
      <c r="O139" s="25"/>
      <c r="P139" s="25"/>
      <c r="Q139" s="25"/>
      <c r="R139" s="322"/>
      <c r="S139" s="302"/>
    </row>
    <row r="140" spans="1:23" ht="76.5" x14ac:dyDescent="0.25">
      <c r="A140" s="306" t="s">
        <v>279</v>
      </c>
      <c r="B140" s="308" t="s">
        <v>280</v>
      </c>
      <c r="C140" s="17"/>
      <c r="D140" s="18">
        <f>SUM(D141:D142)</f>
        <v>469.2</v>
      </c>
      <c r="E140" s="18">
        <f>SUM(E141:E142)</f>
        <v>469.2</v>
      </c>
      <c r="F140" s="18">
        <f>SUM(F141:F142)</f>
        <v>452.3</v>
      </c>
      <c r="G140" s="18">
        <f>SUM(G141:G142)</f>
        <v>16.899999999999999</v>
      </c>
      <c r="H140" s="18">
        <f>SUM(H141:H142)</f>
        <v>16.899999999999999</v>
      </c>
      <c r="I140" s="261">
        <f t="shared" si="9"/>
        <v>0.96398124467178181</v>
      </c>
      <c r="J140" s="48" t="s">
        <v>281</v>
      </c>
      <c r="K140" s="19" t="s">
        <v>282</v>
      </c>
      <c r="L140" s="19">
        <v>1</v>
      </c>
      <c r="M140" s="111">
        <v>1</v>
      </c>
      <c r="N140" s="20"/>
      <c r="O140" s="20"/>
      <c r="P140" s="20"/>
      <c r="Q140" s="20"/>
      <c r="R140" s="48" t="s">
        <v>283</v>
      </c>
      <c r="S140" s="52"/>
    </row>
    <row r="141" spans="1:23" ht="30.75" customHeight="1" x14ac:dyDescent="0.25">
      <c r="A141" s="406"/>
      <c r="B141" s="310"/>
      <c r="C141" s="22" t="s">
        <v>32</v>
      </c>
      <c r="D141" s="23">
        <v>300</v>
      </c>
      <c r="E141" s="23">
        <v>300</v>
      </c>
      <c r="F141" s="23">
        <v>300</v>
      </c>
      <c r="G141" s="23"/>
      <c r="H141" s="54"/>
      <c r="I141" s="262">
        <f t="shared" si="9"/>
        <v>1</v>
      </c>
      <c r="J141" s="333" t="s">
        <v>284</v>
      </c>
      <c r="K141" s="334" t="s">
        <v>22</v>
      </c>
      <c r="L141" s="334">
        <v>1</v>
      </c>
      <c r="M141" s="353">
        <v>1</v>
      </c>
      <c r="N141" s="25"/>
      <c r="O141" s="25"/>
      <c r="P141" s="25"/>
      <c r="Q141" s="25"/>
      <c r="R141" s="379"/>
      <c r="S141" s="363"/>
    </row>
    <row r="142" spans="1:23" ht="15.75" thickBot="1" x14ac:dyDescent="0.3">
      <c r="A142" s="307"/>
      <c r="B142" s="309"/>
      <c r="C142" s="22" t="s">
        <v>30</v>
      </c>
      <c r="D142" s="23">
        <v>169.2</v>
      </c>
      <c r="E142" s="23">
        <v>169.2</v>
      </c>
      <c r="F142" s="23">
        <v>152.30000000000001</v>
      </c>
      <c r="G142" s="23">
        <v>16.899999999999999</v>
      </c>
      <c r="H142" s="23">
        <v>16.899999999999999</v>
      </c>
      <c r="I142" s="279">
        <f t="shared" si="9"/>
        <v>0.90011820330969283</v>
      </c>
      <c r="J142" s="316"/>
      <c r="K142" s="325"/>
      <c r="L142" s="325"/>
      <c r="M142" s="349"/>
      <c r="N142" s="25"/>
      <c r="O142" s="25"/>
      <c r="P142" s="25"/>
      <c r="Q142" s="25"/>
      <c r="R142" s="322"/>
      <c r="S142" s="319"/>
    </row>
    <row r="143" spans="1:23" ht="39" thickBot="1" x14ac:dyDescent="0.3">
      <c r="A143" s="13" t="s">
        <v>285</v>
      </c>
      <c r="B143" s="41" t="s">
        <v>286</v>
      </c>
      <c r="C143" s="14"/>
      <c r="D143" s="15">
        <f>D144+D146</f>
        <v>300.39999999999998</v>
      </c>
      <c r="E143" s="15">
        <f>E144+E146</f>
        <v>300.39999999999998</v>
      </c>
      <c r="F143" s="15">
        <f>F144+F146</f>
        <v>249</v>
      </c>
      <c r="G143" s="15">
        <f>G144+G146</f>
        <v>51.4</v>
      </c>
      <c r="H143" s="15">
        <f>H144+H146</f>
        <v>51.4</v>
      </c>
      <c r="I143" s="260">
        <f>SUM(F143/E143)</f>
        <v>0.82889480692410122</v>
      </c>
      <c r="J143" s="329"/>
      <c r="K143" s="330"/>
      <c r="L143" s="330"/>
      <c r="M143" s="330"/>
      <c r="N143" s="330"/>
      <c r="O143" s="330"/>
      <c r="P143" s="330"/>
      <c r="Q143" s="330"/>
      <c r="R143" s="330"/>
      <c r="S143" s="331"/>
    </row>
    <row r="144" spans="1:23" ht="39" customHeight="1" x14ac:dyDescent="0.25">
      <c r="A144" s="306" t="s">
        <v>287</v>
      </c>
      <c r="B144" s="308" t="s">
        <v>288</v>
      </c>
      <c r="C144" s="17" t="s">
        <v>289</v>
      </c>
      <c r="D144" s="18">
        <f>SUM(D145:D145)+50</f>
        <v>50</v>
      </c>
      <c r="E144" s="18">
        <f>SUM(E145:E145)+50</f>
        <v>50</v>
      </c>
      <c r="F144" s="18">
        <f>SUM(F145:F145)+48.7</f>
        <v>48.7</v>
      </c>
      <c r="G144" s="18">
        <f>SUM(G145:G145)+1.3</f>
        <v>1.3</v>
      </c>
      <c r="H144" s="18">
        <f>SUM(H145:H145)+1.3</f>
        <v>1.3</v>
      </c>
      <c r="I144" s="264">
        <f t="shared" ref="I144:I148" si="10">SUM(F144/E144)</f>
        <v>0.97400000000000009</v>
      </c>
      <c r="J144" s="48" t="s">
        <v>290</v>
      </c>
      <c r="K144" s="19" t="s">
        <v>22</v>
      </c>
      <c r="L144" s="19">
        <v>1</v>
      </c>
      <c r="M144" s="111">
        <v>1</v>
      </c>
      <c r="N144" s="20"/>
      <c r="O144" s="20"/>
      <c r="P144" s="20"/>
      <c r="Q144" s="20"/>
      <c r="R144" s="48"/>
      <c r="S144" s="52"/>
    </row>
    <row r="145" spans="1:19" ht="29.25" customHeight="1" thickBot="1" x14ac:dyDescent="0.3">
      <c r="A145" s="307"/>
      <c r="B145" s="309"/>
      <c r="C145" s="22"/>
      <c r="D145" s="23"/>
      <c r="E145" s="23"/>
      <c r="F145" s="23"/>
      <c r="G145" s="23"/>
      <c r="H145" s="23"/>
      <c r="I145" s="279"/>
      <c r="J145" s="49" t="s">
        <v>291</v>
      </c>
      <c r="K145" s="24" t="s">
        <v>22</v>
      </c>
      <c r="L145" s="24">
        <v>1</v>
      </c>
      <c r="M145" s="110">
        <v>2</v>
      </c>
      <c r="N145" s="25"/>
      <c r="O145" s="25"/>
      <c r="P145" s="25"/>
      <c r="Q145" s="25"/>
      <c r="R145" s="49" t="s">
        <v>292</v>
      </c>
      <c r="S145" s="53"/>
    </row>
    <row r="146" spans="1:19" ht="105" customHeight="1" x14ac:dyDescent="0.25">
      <c r="A146" s="306" t="s">
        <v>293</v>
      </c>
      <c r="B146" s="308" t="s">
        <v>294</v>
      </c>
      <c r="C146" s="17"/>
      <c r="D146" s="18">
        <f>SUM(D147:D150)</f>
        <v>250.4</v>
      </c>
      <c r="E146" s="18">
        <f>SUM(E147:E150)</f>
        <v>250.4</v>
      </c>
      <c r="F146" s="18">
        <f>SUM(F147:F150)</f>
        <v>200.3</v>
      </c>
      <c r="G146" s="18">
        <f>SUM(G147:G150)</f>
        <v>50.1</v>
      </c>
      <c r="H146" s="18">
        <f>SUM(H147:H150)</f>
        <v>50.1</v>
      </c>
      <c r="I146" s="261">
        <f t="shared" si="10"/>
        <v>0.79992012779552724</v>
      </c>
      <c r="J146" s="48" t="s">
        <v>295</v>
      </c>
      <c r="K146" s="19" t="s">
        <v>29</v>
      </c>
      <c r="L146" s="19">
        <v>100</v>
      </c>
      <c r="M146" s="132">
        <v>81.180000000000007</v>
      </c>
      <c r="N146" s="20"/>
      <c r="O146" s="20"/>
      <c r="P146" s="20"/>
      <c r="Q146" s="20"/>
      <c r="R146" s="48" t="s">
        <v>296</v>
      </c>
      <c r="S146" s="52" t="s">
        <v>1682</v>
      </c>
    </row>
    <row r="147" spans="1:19" ht="25.5" x14ac:dyDescent="0.25">
      <c r="A147" s="406"/>
      <c r="B147" s="310"/>
      <c r="C147" s="22" t="s">
        <v>289</v>
      </c>
      <c r="D147" s="23">
        <v>240.4</v>
      </c>
      <c r="E147" s="23">
        <v>240.4</v>
      </c>
      <c r="F147" s="23">
        <v>190.3</v>
      </c>
      <c r="G147" s="23">
        <v>50.1</v>
      </c>
      <c r="H147" s="54">
        <v>50.1</v>
      </c>
      <c r="I147" s="262">
        <f t="shared" si="10"/>
        <v>0.79159733777038277</v>
      </c>
      <c r="J147" s="55" t="s">
        <v>297</v>
      </c>
      <c r="K147" s="24" t="s">
        <v>298</v>
      </c>
      <c r="L147" s="94">
        <v>7000</v>
      </c>
      <c r="M147" s="114">
        <v>8169</v>
      </c>
      <c r="N147" s="25"/>
      <c r="O147" s="25"/>
      <c r="P147" s="25"/>
      <c r="Q147" s="25"/>
      <c r="R147" s="49"/>
      <c r="S147" s="53"/>
    </row>
    <row r="148" spans="1:19" x14ac:dyDescent="0.25">
      <c r="A148" s="406"/>
      <c r="B148" s="310"/>
      <c r="C148" s="22" t="s">
        <v>271</v>
      </c>
      <c r="D148" s="23">
        <v>10</v>
      </c>
      <c r="E148" s="23">
        <v>10</v>
      </c>
      <c r="F148" s="23">
        <v>10</v>
      </c>
      <c r="G148" s="23"/>
      <c r="H148" s="23"/>
      <c r="I148" s="279">
        <f t="shared" si="10"/>
        <v>1</v>
      </c>
      <c r="J148" s="49" t="s">
        <v>299</v>
      </c>
      <c r="K148" s="24" t="s">
        <v>22</v>
      </c>
      <c r="L148" s="94">
        <v>100</v>
      </c>
      <c r="M148" s="114">
        <v>194</v>
      </c>
      <c r="N148" s="25"/>
      <c r="O148" s="25"/>
      <c r="P148" s="25"/>
      <c r="Q148" s="25"/>
      <c r="R148" s="49"/>
      <c r="S148" s="53"/>
    </row>
    <row r="149" spans="1:19" x14ac:dyDescent="0.25">
      <c r="A149" s="406"/>
      <c r="B149" s="310"/>
      <c r="C149" s="22"/>
      <c r="D149" s="23"/>
      <c r="E149" s="23"/>
      <c r="F149" s="23"/>
      <c r="G149" s="23"/>
      <c r="H149" s="23"/>
      <c r="I149" s="269"/>
      <c r="J149" s="49" t="s">
        <v>300</v>
      </c>
      <c r="K149" s="24" t="s">
        <v>22</v>
      </c>
      <c r="L149" s="94">
        <v>3000</v>
      </c>
      <c r="M149" s="131">
        <v>2317</v>
      </c>
      <c r="N149" s="25"/>
      <c r="O149" s="25"/>
      <c r="P149" s="25"/>
      <c r="Q149" s="25"/>
      <c r="R149" s="49"/>
      <c r="S149" s="53" t="s">
        <v>1683</v>
      </c>
    </row>
    <row r="150" spans="1:19" ht="51.75" thickBot="1" x14ac:dyDescent="0.3">
      <c r="A150" s="307"/>
      <c r="B150" s="309"/>
      <c r="C150" s="22"/>
      <c r="D150" s="23"/>
      <c r="E150" s="23"/>
      <c r="F150" s="23"/>
      <c r="G150" s="23"/>
      <c r="H150" s="23"/>
      <c r="I150" s="269"/>
      <c r="J150" s="49" t="s">
        <v>301</v>
      </c>
      <c r="K150" s="24" t="s">
        <v>298</v>
      </c>
      <c r="L150" s="94">
        <v>10000</v>
      </c>
      <c r="M150" s="114">
        <v>16780</v>
      </c>
      <c r="N150" s="25"/>
      <c r="O150" s="25"/>
      <c r="P150" s="25"/>
      <c r="Q150" s="25"/>
      <c r="R150" s="49"/>
      <c r="S150" s="53"/>
    </row>
    <row r="151" spans="1:19" ht="42" customHeight="1" thickBot="1" x14ac:dyDescent="0.3">
      <c r="A151" s="13" t="s">
        <v>302</v>
      </c>
      <c r="B151" s="41" t="s">
        <v>303</v>
      </c>
      <c r="C151" s="14"/>
      <c r="D151" s="15">
        <f>D152+D156+D160+D164+D165</f>
        <v>1160.8</v>
      </c>
      <c r="E151" s="15">
        <f>E152+E156+E160+E164+E165</f>
        <v>1160.8</v>
      </c>
      <c r="F151" s="15">
        <f>F152+F156+F160+F164+F165-0.1</f>
        <v>907.49999999999989</v>
      </c>
      <c r="G151" s="15">
        <f>G152+G156+G160+G164+G165+0.1</f>
        <v>253.29999999999998</v>
      </c>
      <c r="H151" s="15">
        <f>H152+H156+H160+H164+H165+0.1</f>
        <v>253.29999999999998</v>
      </c>
      <c r="I151" s="260">
        <f>SUM(F151/E151)</f>
        <v>0.78178842177808405</v>
      </c>
      <c r="J151" s="329"/>
      <c r="K151" s="330"/>
      <c r="L151" s="330"/>
      <c r="M151" s="330"/>
      <c r="N151" s="330"/>
      <c r="O151" s="330"/>
      <c r="P151" s="330"/>
      <c r="Q151" s="330"/>
      <c r="R151" s="330"/>
      <c r="S151" s="331"/>
    </row>
    <row r="152" spans="1:19" ht="39.6" customHeight="1" x14ac:dyDescent="0.25">
      <c r="A152" s="306" t="s">
        <v>304</v>
      </c>
      <c r="B152" s="308" t="s">
        <v>305</v>
      </c>
      <c r="C152" s="17"/>
      <c r="D152" s="18">
        <f>SUM(D153:D155)</f>
        <v>861.9</v>
      </c>
      <c r="E152" s="18">
        <f>SUM(E153:E155)</f>
        <v>861.9</v>
      </c>
      <c r="F152" s="18">
        <f>SUM(F153:F155)+0.1</f>
        <v>635.6</v>
      </c>
      <c r="G152" s="18">
        <f>SUM(G153:G155)-0.1</f>
        <v>226.3</v>
      </c>
      <c r="H152" s="18">
        <f>SUM(H153:H155)-0.1</f>
        <v>226.3</v>
      </c>
      <c r="I152" s="261">
        <f t="shared" ref="I152:I165" si="11">SUM(F152/E152)</f>
        <v>0.73744053834551582</v>
      </c>
      <c r="J152" s="48" t="s">
        <v>306</v>
      </c>
      <c r="K152" s="19" t="s">
        <v>22</v>
      </c>
      <c r="L152" s="19">
        <v>70</v>
      </c>
      <c r="M152" s="108">
        <v>89</v>
      </c>
      <c r="N152" s="20"/>
      <c r="O152" s="20"/>
      <c r="P152" s="20"/>
      <c r="Q152" s="20"/>
      <c r="R152" s="116"/>
      <c r="S152" s="117"/>
    </row>
    <row r="153" spans="1:19" ht="51" x14ac:dyDescent="0.25">
      <c r="A153" s="406"/>
      <c r="B153" s="310"/>
      <c r="C153" s="22" t="s">
        <v>55</v>
      </c>
      <c r="D153" s="23">
        <v>691.9</v>
      </c>
      <c r="E153" s="23">
        <v>691.9</v>
      </c>
      <c r="F153" s="23">
        <v>498.1</v>
      </c>
      <c r="G153" s="23">
        <v>193.8</v>
      </c>
      <c r="H153" s="54">
        <v>193.8</v>
      </c>
      <c r="I153" s="262">
        <f t="shared" si="11"/>
        <v>0.71990171990171992</v>
      </c>
      <c r="J153" s="55" t="s">
        <v>307</v>
      </c>
      <c r="K153" s="24" t="s">
        <v>29</v>
      </c>
      <c r="L153" s="24">
        <v>30</v>
      </c>
      <c r="M153" s="110">
        <v>33</v>
      </c>
      <c r="N153" s="25"/>
      <c r="O153" s="25"/>
      <c r="P153" s="25"/>
      <c r="Q153" s="25"/>
      <c r="R153" s="118"/>
      <c r="S153" s="119"/>
    </row>
    <row r="154" spans="1:19" ht="25.5" x14ac:dyDescent="0.25">
      <c r="A154" s="406"/>
      <c r="B154" s="310"/>
      <c r="C154" s="22" t="s">
        <v>271</v>
      </c>
      <c r="D154" s="23">
        <v>120</v>
      </c>
      <c r="E154" s="23">
        <v>120</v>
      </c>
      <c r="F154" s="23">
        <v>89.8</v>
      </c>
      <c r="G154" s="23">
        <v>30.2</v>
      </c>
      <c r="H154" s="54">
        <v>30.2</v>
      </c>
      <c r="I154" s="262">
        <f t="shared" si="11"/>
        <v>0.74833333333333329</v>
      </c>
      <c r="J154" s="55" t="s">
        <v>308</v>
      </c>
      <c r="K154" s="24" t="s">
        <v>22</v>
      </c>
      <c r="L154" s="24">
        <v>40</v>
      </c>
      <c r="M154" s="109">
        <v>26</v>
      </c>
      <c r="N154" s="25"/>
      <c r="O154" s="25"/>
      <c r="P154" s="25"/>
      <c r="Q154" s="25"/>
      <c r="R154" s="49"/>
      <c r="S154" s="53" t="s">
        <v>1684</v>
      </c>
    </row>
    <row r="155" spans="1:19" ht="39" thickBot="1" x14ac:dyDescent="0.3">
      <c r="A155" s="307"/>
      <c r="B155" s="309"/>
      <c r="C155" s="22" t="s">
        <v>32</v>
      </c>
      <c r="D155" s="23">
        <v>50</v>
      </c>
      <c r="E155" s="23">
        <v>50</v>
      </c>
      <c r="F155" s="23">
        <v>47.6</v>
      </c>
      <c r="G155" s="23">
        <v>2.4</v>
      </c>
      <c r="H155" s="23">
        <v>2.4</v>
      </c>
      <c r="I155" s="279">
        <f t="shared" si="11"/>
        <v>0.95200000000000007</v>
      </c>
      <c r="J155" s="49" t="s">
        <v>309</v>
      </c>
      <c r="K155" s="24" t="s">
        <v>310</v>
      </c>
      <c r="L155" s="94">
        <v>1297</v>
      </c>
      <c r="M155" s="127">
        <v>1297</v>
      </c>
      <c r="N155" s="25"/>
      <c r="O155" s="25"/>
      <c r="P155" s="25"/>
      <c r="Q155" s="25"/>
      <c r="R155" s="49" t="s">
        <v>1797</v>
      </c>
      <c r="S155" s="156"/>
    </row>
    <row r="156" spans="1:19" ht="39" customHeight="1" x14ac:dyDescent="0.25">
      <c r="A156" s="306" t="s">
        <v>311</v>
      </c>
      <c r="B156" s="308" t="s">
        <v>312</v>
      </c>
      <c r="C156" s="17"/>
      <c r="D156" s="18">
        <f>SUM(D157:D159)</f>
        <v>183.9</v>
      </c>
      <c r="E156" s="18">
        <f>SUM(E157:E159)</f>
        <v>183.9</v>
      </c>
      <c r="F156" s="18">
        <f>SUM(F157:F159)</f>
        <v>168.7</v>
      </c>
      <c r="G156" s="18">
        <f>SUM(G157:G159)</f>
        <v>15.2</v>
      </c>
      <c r="H156" s="18">
        <f>SUM(H157:H159)</f>
        <v>15.2</v>
      </c>
      <c r="I156" s="261">
        <f t="shared" si="11"/>
        <v>0.91734638390429568</v>
      </c>
      <c r="J156" s="48" t="s">
        <v>313</v>
      </c>
      <c r="K156" s="19" t="s">
        <v>22</v>
      </c>
      <c r="L156" s="19">
        <v>1</v>
      </c>
      <c r="M156" s="111">
        <v>1</v>
      </c>
      <c r="N156" s="20"/>
      <c r="O156" s="20"/>
      <c r="P156" s="20"/>
      <c r="Q156" s="20"/>
      <c r="R156" s="48"/>
      <c r="S156" s="52"/>
    </row>
    <row r="157" spans="1:19" ht="25.5" customHeight="1" x14ac:dyDescent="0.25">
      <c r="A157" s="406"/>
      <c r="B157" s="310"/>
      <c r="C157" s="22" t="s">
        <v>30</v>
      </c>
      <c r="D157" s="23">
        <v>65</v>
      </c>
      <c r="E157" s="23">
        <v>65</v>
      </c>
      <c r="F157" s="23">
        <v>56</v>
      </c>
      <c r="G157" s="23">
        <v>9</v>
      </c>
      <c r="H157" s="54">
        <v>9</v>
      </c>
      <c r="I157" s="262">
        <f t="shared" si="11"/>
        <v>0.86153846153846159</v>
      </c>
      <c r="J157" s="333" t="s">
        <v>314</v>
      </c>
      <c r="K157" s="334" t="s">
        <v>22</v>
      </c>
      <c r="L157" s="334">
        <v>1</v>
      </c>
      <c r="M157" s="353">
        <v>1</v>
      </c>
      <c r="N157" s="25"/>
      <c r="O157" s="25"/>
      <c r="P157" s="25"/>
      <c r="Q157" s="25"/>
      <c r="R157" s="378"/>
      <c r="S157" s="339"/>
    </row>
    <row r="158" spans="1:19" x14ac:dyDescent="0.25">
      <c r="A158" s="406"/>
      <c r="B158" s="310"/>
      <c r="C158" s="22" t="s">
        <v>32</v>
      </c>
      <c r="D158" s="23">
        <v>115.9</v>
      </c>
      <c r="E158" s="23">
        <v>115.9</v>
      </c>
      <c r="F158" s="23">
        <v>109.7</v>
      </c>
      <c r="G158" s="23">
        <v>6.2</v>
      </c>
      <c r="H158" s="54">
        <v>6.2</v>
      </c>
      <c r="I158" s="262">
        <f t="shared" si="11"/>
        <v>0.94650560828300256</v>
      </c>
      <c r="J158" s="315"/>
      <c r="K158" s="324"/>
      <c r="L158" s="324"/>
      <c r="M158" s="348"/>
      <c r="N158" s="25"/>
      <c r="O158" s="25"/>
      <c r="P158" s="25"/>
      <c r="Q158" s="25"/>
      <c r="R158" s="298"/>
      <c r="S158" s="304"/>
    </row>
    <row r="159" spans="1:19" ht="15.75" thickBot="1" x14ac:dyDescent="0.3">
      <c r="A159" s="307"/>
      <c r="B159" s="309"/>
      <c r="C159" s="22" t="s">
        <v>185</v>
      </c>
      <c r="D159" s="23">
        <v>3</v>
      </c>
      <c r="E159" s="23">
        <v>3</v>
      </c>
      <c r="F159" s="23">
        <v>3</v>
      </c>
      <c r="G159" s="23"/>
      <c r="H159" s="23"/>
      <c r="I159" s="279">
        <f t="shared" si="11"/>
        <v>1</v>
      </c>
      <c r="J159" s="316"/>
      <c r="K159" s="325"/>
      <c r="L159" s="325"/>
      <c r="M159" s="349"/>
      <c r="N159" s="25"/>
      <c r="O159" s="25"/>
      <c r="P159" s="25"/>
      <c r="Q159" s="25"/>
      <c r="R159" s="299"/>
      <c r="S159" s="305"/>
    </row>
    <row r="160" spans="1:19" ht="51.75" customHeight="1" x14ac:dyDescent="0.25">
      <c r="A160" s="306" t="s">
        <v>315</v>
      </c>
      <c r="B160" s="308" t="s">
        <v>316</v>
      </c>
      <c r="C160" s="17" t="s">
        <v>271</v>
      </c>
      <c r="D160" s="18">
        <f>SUM(D161:D163)+100</f>
        <v>100</v>
      </c>
      <c r="E160" s="18">
        <f>SUM(E161:E163)+100</f>
        <v>100</v>
      </c>
      <c r="F160" s="18">
        <f>SUM(F161:F163)+93.8</f>
        <v>93.8</v>
      </c>
      <c r="G160" s="18">
        <f>SUM(G161:G163)+6.2</f>
        <v>6.2</v>
      </c>
      <c r="H160" s="18">
        <f>SUM(H161:H163)+6.2</f>
        <v>6.2</v>
      </c>
      <c r="I160" s="261">
        <f t="shared" si="11"/>
        <v>0.93799999999999994</v>
      </c>
      <c r="J160" s="48" t="s">
        <v>317</v>
      </c>
      <c r="K160" s="19" t="s">
        <v>253</v>
      </c>
      <c r="L160" s="19">
        <v>230</v>
      </c>
      <c r="M160" s="133">
        <v>729.18</v>
      </c>
      <c r="N160" s="20"/>
      <c r="O160" s="20"/>
      <c r="P160" s="20"/>
      <c r="Q160" s="20"/>
      <c r="R160" s="48"/>
      <c r="S160" s="52"/>
    </row>
    <row r="161" spans="1:23" ht="51" x14ac:dyDescent="0.25">
      <c r="A161" s="406"/>
      <c r="B161" s="310"/>
      <c r="C161" s="22"/>
      <c r="D161" s="23"/>
      <c r="E161" s="23"/>
      <c r="F161" s="23"/>
      <c r="G161" s="23"/>
      <c r="H161" s="54"/>
      <c r="I161" s="262"/>
      <c r="J161" s="55" t="s">
        <v>318</v>
      </c>
      <c r="K161" s="24" t="s">
        <v>29</v>
      </c>
      <c r="L161" s="24">
        <v>30</v>
      </c>
      <c r="M161" s="105">
        <v>10</v>
      </c>
      <c r="N161" s="25"/>
      <c r="O161" s="25"/>
      <c r="P161" s="25"/>
      <c r="Q161" s="25"/>
      <c r="R161" s="85" t="s">
        <v>1725</v>
      </c>
      <c r="S161" s="53" t="s">
        <v>1798</v>
      </c>
    </row>
    <row r="162" spans="1:23" ht="54" customHeight="1" x14ac:dyDescent="0.25">
      <c r="A162" s="406"/>
      <c r="B162" s="310"/>
      <c r="C162" s="22"/>
      <c r="D162" s="23"/>
      <c r="E162" s="23"/>
      <c r="F162" s="23"/>
      <c r="G162" s="23"/>
      <c r="H162" s="54"/>
      <c r="I162" s="262"/>
      <c r="J162" s="55" t="s">
        <v>319</v>
      </c>
      <c r="K162" s="24" t="s">
        <v>310</v>
      </c>
      <c r="L162" s="94">
        <v>15000</v>
      </c>
      <c r="M162" s="134">
        <v>3942</v>
      </c>
      <c r="N162" s="25"/>
      <c r="O162" s="25"/>
      <c r="P162" s="25"/>
      <c r="Q162" s="25"/>
      <c r="R162" s="49"/>
      <c r="S162" s="53" t="s">
        <v>1685</v>
      </c>
    </row>
    <row r="163" spans="1:23" ht="64.5" thickBot="1" x14ac:dyDescent="0.3">
      <c r="A163" s="406"/>
      <c r="B163" s="310"/>
      <c r="C163" s="162"/>
      <c r="D163" s="163"/>
      <c r="E163" s="163"/>
      <c r="F163" s="163"/>
      <c r="G163" s="163"/>
      <c r="H163" s="163"/>
      <c r="I163" s="266"/>
      <c r="J163" s="151" t="s">
        <v>320</v>
      </c>
      <c r="K163" s="159" t="s">
        <v>22</v>
      </c>
      <c r="L163" s="159">
        <v>1</v>
      </c>
      <c r="M163" s="160">
        <v>1</v>
      </c>
      <c r="N163" s="164"/>
      <c r="O163" s="164"/>
      <c r="P163" s="164"/>
      <c r="Q163" s="164"/>
      <c r="R163" s="151"/>
      <c r="S163" s="152"/>
    </row>
    <row r="164" spans="1:23" ht="39" thickBot="1" x14ac:dyDescent="0.3">
      <c r="A164" s="170" t="s">
        <v>321</v>
      </c>
      <c r="B164" s="171" t="s">
        <v>322</v>
      </c>
      <c r="C164" s="172" t="s">
        <v>271</v>
      </c>
      <c r="D164" s="173">
        <v>5</v>
      </c>
      <c r="E164" s="173">
        <v>5</v>
      </c>
      <c r="F164" s="173">
        <v>0.1</v>
      </c>
      <c r="G164" s="173">
        <v>4.9000000000000004</v>
      </c>
      <c r="H164" s="173">
        <v>4.9000000000000004</v>
      </c>
      <c r="I164" s="268">
        <f t="shared" si="11"/>
        <v>0.02</v>
      </c>
      <c r="J164" s="174" t="s">
        <v>323</v>
      </c>
      <c r="K164" s="175" t="s">
        <v>29</v>
      </c>
      <c r="L164" s="175">
        <v>100</v>
      </c>
      <c r="M164" s="178">
        <v>100</v>
      </c>
      <c r="N164" s="176"/>
      <c r="O164" s="176"/>
      <c r="P164" s="176"/>
      <c r="Q164" s="176"/>
      <c r="R164" s="179"/>
      <c r="S164" s="177" t="s">
        <v>324</v>
      </c>
      <c r="T164" s="253"/>
    </row>
    <row r="165" spans="1:23" ht="90" customHeight="1" thickBot="1" x14ac:dyDescent="0.3">
      <c r="A165" s="165" t="s">
        <v>325</v>
      </c>
      <c r="B165" s="166" t="s">
        <v>326</v>
      </c>
      <c r="C165" s="167" t="s">
        <v>32</v>
      </c>
      <c r="D165" s="168">
        <v>10</v>
      </c>
      <c r="E165" s="168">
        <v>10</v>
      </c>
      <c r="F165" s="168">
        <v>9.4</v>
      </c>
      <c r="G165" s="168">
        <v>0.6</v>
      </c>
      <c r="H165" s="168">
        <v>0.6</v>
      </c>
      <c r="I165" s="279">
        <f t="shared" si="11"/>
        <v>0.94000000000000006</v>
      </c>
      <c r="J165" s="76" t="s">
        <v>327</v>
      </c>
      <c r="K165" s="77" t="s">
        <v>57</v>
      </c>
      <c r="L165" s="77">
        <v>18</v>
      </c>
      <c r="M165" s="169">
        <v>18</v>
      </c>
      <c r="N165" s="78"/>
      <c r="O165" s="78"/>
      <c r="P165" s="78"/>
      <c r="Q165" s="78"/>
      <c r="R165" s="188"/>
      <c r="S165" s="72"/>
    </row>
    <row r="166" spans="1:23" ht="39" thickBot="1" x14ac:dyDescent="0.3">
      <c r="A166" s="13" t="s">
        <v>328</v>
      </c>
      <c r="B166" s="41" t="s">
        <v>329</v>
      </c>
      <c r="C166" s="14"/>
      <c r="D166" s="15">
        <f>SUM(D167:D168)</f>
        <v>11</v>
      </c>
      <c r="E166" s="15">
        <f>SUM(E167:E168)</f>
        <v>11</v>
      </c>
      <c r="F166" s="15">
        <f>SUM(F167:F168)</f>
        <v>11</v>
      </c>
      <c r="G166" s="15"/>
      <c r="H166" s="15"/>
      <c r="I166" s="260">
        <f>SUM(F166/E166)</f>
        <v>1</v>
      </c>
      <c r="J166" s="329"/>
      <c r="K166" s="330"/>
      <c r="L166" s="330"/>
      <c r="M166" s="330"/>
      <c r="N166" s="330"/>
      <c r="O166" s="330"/>
      <c r="P166" s="330"/>
      <c r="Q166" s="330"/>
      <c r="R166" s="330"/>
      <c r="S166" s="331"/>
    </row>
    <row r="167" spans="1:23" ht="54.75" customHeight="1" thickBot="1" x14ac:dyDescent="0.3">
      <c r="A167" s="16" t="s">
        <v>330</v>
      </c>
      <c r="B167" s="42" t="s">
        <v>331</v>
      </c>
      <c r="C167" s="17" t="s">
        <v>271</v>
      </c>
      <c r="D167" s="26">
        <v>8</v>
      </c>
      <c r="E167" s="26">
        <v>8</v>
      </c>
      <c r="F167" s="26">
        <v>8</v>
      </c>
      <c r="G167" s="26"/>
      <c r="H167" s="26"/>
      <c r="I167" s="264">
        <f t="shared" ref="I167:I168" si="12">SUM(F167/E167)</f>
        <v>1</v>
      </c>
      <c r="J167" s="48" t="s">
        <v>332</v>
      </c>
      <c r="K167" s="19" t="s">
        <v>22</v>
      </c>
      <c r="L167" s="19">
        <v>5</v>
      </c>
      <c r="M167" s="107">
        <v>3</v>
      </c>
      <c r="N167" s="20"/>
      <c r="O167" s="20"/>
      <c r="P167" s="20"/>
      <c r="Q167" s="20"/>
      <c r="R167" s="48"/>
      <c r="S167" s="52" t="s">
        <v>1726</v>
      </c>
      <c r="T167" s="254"/>
    </row>
    <row r="168" spans="1:23" ht="42" customHeight="1" x14ac:dyDescent="0.25">
      <c r="A168" s="306" t="s">
        <v>333</v>
      </c>
      <c r="B168" s="308" t="s">
        <v>334</v>
      </c>
      <c r="C168" s="17" t="s">
        <v>271</v>
      </c>
      <c r="D168" s="18">
        <f>SUM(D169:D170)+3</f>
        <v>3</v>
      </c>
      <c r="E168" s="18">
        <f>SUM(E169:E170)+3</f>
        <v>3</v>
      </c>
      <c r="F168" s="18">
        <f>SUM(F169:F170)+3</f>
        <v>3</v>
      </c>
      <c r="G168" s="18"/>
      <c r="H168" s="18"/>
      <c r="I168" s="264">
        <f t="shared" si="12"/>
        <v>1</v>
      </c>
      <c r="J168" s="48" t="s">
        <v>335</v>
      </c>
      <c r="K168" s="19" t="s">
        <v>22</v>
      </c>
      <c r="L168" s="19">
        <v>40</v>
      </c>
      <c r="M168" s="112">
        <v>16</v>
      </c>
      <c r="N168" s="20"/>
      <c r="O168" s="20"/>
      <c r="P168" s="20"/>
      <c r="Q168" s="20"/>
      <c r="R168" s="48"/>
      <c r="S168" s="52" t="s">
        <v>1727</v>
      </c>
    </row>
    <row r="169" spans="1:23" ht="41.25" customHeight="1" x14ac:dyDescent="0.25">
      <c r="A169" s="406"/>
      <c r="B169" s="310"/>
      <c r="C169" s="22"/>
      <c r="D169" s="23"/>
      <c r="E169" s="23"/>
      <c r="F169" s="23"/>
      <c r="G169" s="23"/>
      <c r="H169" s="23"/>
      <c r="I169" s="269"/>
      <c r="J169" s="49" t="s">
        <v>336</v>
      </c>
      <c r="K169" s="24" t="s">
        <v>22</v>
      </c>
      <c r="L169" s="24">
        <v>2</v>
      </c>
      <c r="M169" s="104">
        <v>2</v>
      </c>
      <c r="N169" s="25"/>
      <c r="O169" s="25"/>
      <c r="P169" s="25"/>
      <c r="Q169" s="25"/>
      <c r="R169" s="49"/>
      <c r="S169" s="53"/>
    </row>
    <row r="170" spans="1:23" ht="41.25" customHeight="1" thickBot="1" x14ac:dyDescent="0.3">
      <c r="A170" s="307"/>
      <c r="B170" s="309"/>
      <c r="C170" s="22"/>
      <c r="D170" s="23"/>
      <c r="E170" s="23"/>
      <c r="F170" s="23"/>
      <c r="G170" s="23"/>
      <c r="H170" s="23"/>
      <c r="I170" s="269"/>
      <c r="J170" s="49" t="s">
        <v>337</v>
      </c>
      <c r="K170" s="24" t="s">
        <v>22</v>
      </c>
      <c r="L170" s="24">
        <v>2</v>
      </c>
      <c r="M170" s="104">
        <v>2</v>
      </c>
      <c r="N170" s="25"/>
      <c r="O170" s="25"/>
      <c r="P170" s="25"/>
      <c r="Q170" s="25"/>
      <c r="R170" s="49"/>
      <c r="S170" s="53"/>
    </row>
    <row r="171" spans="1:23" ht="39" thickBot="1" x14ac:dyDescent="0.3">
      <c r="A171" s="13" t="s">
        <v>338</v>
      </c>
      <c r="B171" s="41" t="s">
        <v>339</v>
      </c>
      <c r="C171" s="14"/>
      <c r="D171" s="15">
        <f t="shared" ref="D171:F172" si="13">SUM(D172:D172)</f>
        <v>284.5</v>
      </c>
      <c r="E171" s="15">
        <f t="shared" si="13"/>
        <v>284.5</v>
      </c>
      <c r="F171" s="15">
        <f t="shared" si="13"/>
        <v>284.5</v>
      </c>
      <c r="G171" s="15"/>
      <c r="H171" s="15"/>
      <c r="I171" s="260">
        <f>SUM(F171/E171)</f>
        <v>1</v>
      </c>
      <c r="J171" s="329"/>
      <c r="K171" s="330"/>
      <c r="L171" s="330"/>
      <c r="M171" s="330"/>
      <c r="N171" s="330"/>
      <c r="O171" s="330"/>
      <c r="P171" s="330"/>
      <c r="Q171" s="330"/>
      <c r="R171" s="330"/>
      <c r="S171" s="331"/>
    </row>
    <row r="172" spans="1:23" ht="36.75" customHeight="1" x14ac:dyDescent="0.25">
      <c r="A172" s="306" t="s">
        <v>340</v>
      </c>
      <c r="B172" s="308" t="s">
        <v>341</v>
      </c>
      <c r="C172" s="17"/>
      <c r="D172" s="18">
        <f t="shared" si="13"/>
        <v>284.5</v>
      </c>
      <c r="E172" s="18">
        <f t="shared" si="13"/>
        <v>284.5</v>
      </c>
      <c r="F172" s="18">
        <f t="shared" si="13"/>
        <v>284.5</v>
      </c>
      <c r="G172" s="18"/>
      <c r="H172" s="18"/>
      <c r="I172" s="264">
        <f t="shared" ref="I172:I173" si="14">SUM(F172/E172)</f>
        <v>1</v>
      </c>
      <c r="J172" s="308" t="s">
        <v>277</v>
      </c>
      <c r="K172" s="323" t="s">
        <v>22</v>
      </c>
      <c r="L172" s="323">
        <v>1</v>
      </c>
      <c r="M172" s="347">
        <v>1</v>
      </c>
      <c r="N172" s="20"/>
      <c r="O172" s="20"/>
      <c r="P172" s="20"/>
      <c r="Q172" s="20"/>
      <c r="R172" s="297"/>
      <c r="S172" s="303"/>
    </row>
    <row r="173" spans="1:23" ht="16.5" customHeight="1" thickBot="1" x14ac:dyDescent="0.3">
      <c r="A173" s="307"/>
      <c r="B173" s="309"/>
      <c r="C173" s="22" t="s">
        <v>55</v>
      </c>
      <c r="D173" s="23">
        <v>284.5</v>
      </c>
      <c r="E173" s="23">
        <v>284.5</v>
      </c>
      <c r="F173" s="23">
        <v>284.5</v>
      </c>
      <c r="G173" s="23"/>
      <c r="H173" s="23"/>
      <c r="I173" s="279">
        <f t="shared" si="14"/>
        <v>1</v>
      </c>
      <c r="J173" s="309"/>
      <c r="K173" s="325"/>
      <c r="L173" s="325"/>
      <c r="M173" s="349"/>
      <c r="N173" s="25"/>
      <c r="O173" s="25"/>
      <c r="P173" s="25"/>
      <c r="Q173" s="25"/>
      <c r="R173" s="299"/>
      <c r="S173" s="305"/>
    </row>
    <row r="174" spans="1:23" ht="51.75" thickBot="1" x14ac:dyDescent="0.3">
      <c r="A174" s="5" t="s">
        <v>342</v>
      </c>
      <c r="B174" s="39" t="s">
        <v>343</v>
      </c>
      <c r="C174" s="6"/>
      <c r="D174" s="7">
        <f>D175+D268-0.1</f>
        <v>41165.9</v>
      </c>
      <c r="E174" s="7">
        <f>E175+E268-0.1</f>
        <v>41165.9</v>
      </c>
      <c r="F174" s="7">
        <f>F175+F268</f>
        <v>34324.399999999994</v>
      </c>
      <c r="G174" s="7">
        <f>G175+G268-0.1</f>
        <v>6841.5</v>
      </c>
      <c r="H174" s="7">
        <f>H175+H268-0.1</f>
        <v>6841.5</v>
      </c>
      <c r="I174" s="258">
        <f>SUM(F174/E174)</f>
        <v>0.83380662149983342</v>
      </c>
      <c r="J174" s="452"/>
      <c r="K174" s="453"/>
      <c r="L174" s="453"/>
      <c r="M174" s="453"/>
      <c r="N174" s="453"/>
      <c r="O174" s="453"/>
      <c r="P174" s="453"/>
      <c r="Q174" s="453"/>
      <c r="R174" s="453"/>
      <c r="S174" s="454"/>
      <c r="U174" s="240"/>
      <c r="V174" s="241" t="s">
        <v>1</v>
      </c>
      <c r="W174" s="251" t="s">
        <v>1938</v>
      </c>
    </row>
    <row r="175" spans="1:23" ht="64.5" thickBot="1" x14ac:dyDescent="0.3">
      <c r="A175" s="8" t="s">
        <v>344</v>
      </c>
      <c r="B175" s="40" t="s">
        <v>345</v>
      </c>
      <c r="C175" s="9"/>
      <c r="D175" s="10">
        <f>D176+D229+D240</f>
        <v>13905.400000000001</v>
      </c>
      <c r="E175" s="10">
        <f>E176+E229+E240</f>
        <v>13905.400000000001</v>
      </c>
      <c r="F175" s="10">
        <f>F176+F229+F240+0.1</f>
        <v>11719</v>
      </c>
      <c r="G175" s="10">
        <f>G176+G229+G240</f>
        <v>2186.4</v>
      </c>
      <c r="H175" s="10">
        <f>H176+H229+H240</f>
        <v>2186.4</v>
      </c>
      <c r="I175" s="259">
        <f>SUM(F175/E175)</f>
        <v>0.84276611963697545</v>
      </c>
      <c r="J175" s="47" t="s">
        <v>346</v>
      </c>
      <c r="K175" s="11" t="s">
        <v>29</v>
      </c>
      <c r="L175" s="11">
        <v>100</v>
      </c>
      <c r="M175" s="99">
        <v>83.68</v>
      </c>
      <c r="N175" s="12"/>
      <c r="O175" s="12"/>
      <c r="P175" s="12"/>
      <c r="Q175" s="12"/>
      <c r="R175" s="370"/>
      <c r="S175" s="371"/>
      <c r="U175" s="242"/>
      <c r="V175" s="243" t="s">
        <v>1930</v>
      </c>
      <c r="W175" s="244">
        <v>7</v>
      </c>
    </row>
    <row r="176" spans="1:23" ht="39" thickBot="1" x14ac:dyDescent="0.3">
      <c r="A176" s="13" t="s">
        <v>347</v>
      </c>
      <c r="B176" s="41" t="s">
        <v>348</v>
      </c>
      <c r="C176" s="14"/>
      <c r="D176" s="15">
        <f>D177+D225+D226</f>
        <v>9025.4</v>
      </c>
      <c r="E176" s="15">
        <f>E177+E225+E226</f>
        <v>9025.4</v>
      </c>
      <c r="F176" s="15">
        <f>F177+F225+F226</f>
        <v>9010.6</v>
      </c>
      <c r="G176" s="15">
        <f>G177+G225+G226</f>
        <v>14.799999999999999</v>
      </c>
      <c r="H176" s="15">
        <f>H177+H225+H226</f>
        <v>14.799999999999999</v>
      </c>
      <c r="I176" s="260">
        <f>SUM(F176/E176)</f>
        <v>0.99836018348217259</v>
      </c>
      <c r="J176" s="329"/>
      <c r="K176" s="330"/>
      <c r="L176" s="330"/>
      <c r="M176" s="330"/>
      <c r="N176" s="330"/>
      <c r="O176" s="330"/>
      <c r="P176" s="330"/>
      <c r="Q176" s="330"/>
      <c r="R176" s="330"/>
      <c r="S176" s="331"/>
      <c r="U176" s="249"/>
      <c r="V176" s="243" t="s">
        <v>1931</v>
      </c>
      <c r="W176" s="244"/>
    </row>
    <row r="177" spans="1:23" ht="179.25" customHeight="1" x14ac:dyDescent="0.25">
      <c r="A177" s="306" t="s">
        <v>349</v>
      </c>
      <c r="B177" s="308" t="s">
        <v>350</v>
      </c>
      <c r="C177" s="17"/>
      <c r="D177" s="18">
        <f>D178+D179+D180+D181+D182+D186+D189+D190+D194+D197+D198+D201+D202+D203+D204+D205+D207+D208+D210+D212+D215+D218+D220+D221+D224</f>
        <v>8225.4</v>
      </c>
      <c r="E177" s="18">
        <f>E178+E179+E180+E181+E182+E186+E189+E190+E194+E197+E198+E201+E202+E203+E204+E205+E207+E208+E210+E212+E215+E218+E220+E221+E224</f>
        <v>8225.4</v>
      </c>
      <c r="F177" s="18">
        <f>F178+F179+F180+F181+F182+F186+F189+F190+F194+F197+F198+F201+F202+F203+F204+F205+F207+F208+F210+F212+F215+F218+F220+F221+F224</f>
        <v>8210.7000000000007</v>
      </c>
      <c r="G177" s="18">
        <f>G178+G179+G180+G181+G182+G186+G189+G190+G194+G197+G198+G201+G202+G203+G204+G205+G207+G208+G210+G212+G215+G218+G220+G221+G224+0.1</f>
        <v>14.7</v>
      </c>
      <c r="H177" s="18">
        <f>H178+H179+H180+H181+H182+H186+H189+H190+H194+H197+H198+H201+H202+H203+H204+H205+H207+H208+H210+H212+H215+H218+H220+H221+H224+0.1</f>
        <v>14.7</v>
      </c>
      <c r="I177" s="261">
        <f t="shared" ref="I177:I228" si="15">SUM(F177/E177)</f>
        <v>0.99821285287037731</v>
      </c>
      <c r="J177" s="48" t="s">
        <v>351</v>
      </c>
      <c r="K177" s="19" t="s">
        <v>29</v>
      </c>
      <c r="L177" s="19">
        <v>100</v>
      </c>
      <c r="M177" s="111">
        <v>100</v>
      </c>
      <c r="N177" s="20"/>
      <c r="O177" s="20"/>
      <c r="P177" s="20"/>
      <c r="Q177" s="20"/>
      <c r="R177" s="48"/>
      <c r="S177" s="236"/>
      <c r="U177" s="245"/>
      <c r="V177" s="243" t="s">
        <v>1932</v>
      </c>
      <c r="W177" s="246">
        <v>5</v>
      </c>
    </row>
    <row r="178" spans="1:23" ht="131.25" customHeight="1" x14ac:dyDescent="0.25">
      <c r="A178" s="406"/>
      <c r="B178" s="310"/>
      <c r="C178" s="22"/>
      <c r="D178" s="23"/>
      <c r="E178" s="23"/>
      <c r="F178" s="23"/>
      <c r="G178" s="23"/>
      <c r="H178" s="54"/>
      <c r="I178" s="262"/>
      <c r="J178" s="55" t="s">
        <v>352</v>
      </c>
      <c r="K178" s="24" t="s">
        <v>29</v>
      </c>
      <c r="L178" s="24">
        <v>100</v>
      </c>
      <c r="M178" s="104">
        <v>100</v>
      </c>
      <c r="N178" s="25"/>
      <c r="O178" s="25"/>
      <c r="P178" s="25"/>
      <c r="Q178" s="25"/>
      <c r="R178" s="49"/>
      <c r="S178" s="235"/>
      <c r="U178" s="250"/>
      <c r="V178" s="243" t="s">
        <v>1933</v>
      </c>
      <c r="W178" s="246">
        <v>6</v>
      </c>
    </row>
    <row r="179" spans="1:23" ht="51.75" thickBot="1" x14ac:dyDescent="0.3">
      <c r="A179" s="307"/>
      <c r="B179" s="309"/>
      <c r="C179" s="22"/>
      <c r="D179" s="23"/>
      <c r="E179" s="23"/>
      <c r="F179" s="23"/>
      <c r="G179" s="23"/>
      <c r="H179" s="23"/>
      <c r="I179" s="279"/>
      <c r="J179" s="49" t="s">
        <v>353</v>
      </c>
      <c r="K179" s="24" t="s">
        <v>22</v>
      </c>
      <c r="L179" s="24">
        <v>30</v>
      </c>
      <c r="M179" s="105">
        <v>9</v>
      </c>
      <c r="N179" s="25"/>
      <c r="O179" s="25"/>
      <c r="P179" s="25"/>
      <c r="Q179" s="25"/>
      <c r="R179" s="49"/>
      <c r="S179" s="53" t="s">
        <v>1728</v>
      </c>
      <c r="U179" s="247"/>
      <c r="V179" s="243" t="s">
        <v>1934</v>
      </c>
      <c r="W179" s="246">
        <v>4</v>
      </c>
    </row>
    <row r="180" spans="1:23" ht="64.5" thickBot="1" x14ac:dyDescent="0.3">
      <c r="A180" s="16" t="s">
        <v>354</v>
      </c>
      <c r="B180" s="42" t="s">
        <v>355</v>
      </c>
      <c r="C180" s="17" t="s">
        <v>32</v>
      </c>
      <c r="D180" s="26">
        <v>15.5</v>
      </c>
      <c r="E180" s="26">
        <v>15.5</v>
      </c>
      <c r="F180" s="26">
        <v>15.5</v>
      </c>
      <c r="G180" s="26"/>
      <c r="H180" s="26"/>
      <c r="I180" s="264">
        <f t="shared" si="15"/>
        <v>1</v>
      </c>
      <c r="J180" s="48" t="s">
        <v>356</v>
      </c>
      <c r="K180" s="19" t="s">
        <v>29</v>
      </c>
      <c r="L180" s="19">
        <v>100</v>
      </c>
      <c r="M180" s="111">
        <v>100</v>
      </c>
      <c r="N180" s="20"/>
      <c r="O180" s="20"/>
      <c r="P180" s="20"/>
      <c r="Q180" s="20"/>
      <c r="R180" s="48" t="s">
        <v>357</v>
      </c>
      <c r="S180" s="52"/>
      <c r="U180" s="240"/>
      <c r="V180" s="248" t="s">
        <v>1935</v>
      </c>
      <c r="W180" s="246">
        <f>+SUM(W175:W179)</f>
        <v>22</v>
      </c>
    </row>
    <row r="181" spans="1:23" ht="64.5" thickBot="1" x14ac:dyDescent="0.3">
      <c r="A181" s="16" t="s">
        <v>358</v>
      </c>
      <c r="B181" s="42" t="s">
        <v>359</v>
      </c>
      <c r="C181" s="17" t="s">
        <v>32</v>
      </c>
      <c r="D181" s="26">
        <v>21.2</v>
      </c>
      <c r="E181" s="26">
        <v>21.2</v>
      </c>
      <c r="F181" s="26">
        <v>21.1</v>
      </c>
      <c r="G181" s="26">
        <v>0.1</v>
      </c>
      <c r="H181" s="26">
        <v>0.1</v>
      </c>
      <c r="I181" s="264">
        <f t="shared" si="15"/>
        <v>0.99528301886792458</v>
      </c>
      <c r="J181" s="48" t="s">
        <v>356</v>
      </c>
      <c r="K181" s="19" t="s">
        <v>29</v>
      </c>
      <c r="L181" s="19">
        <v>100</v>
      </c>
      <c r="M181" s="111">
        <v>100</v>
      </c>
      <c r="N181" s="20"/>
      <c r="O181" s="20"/>
      <c r="P181" s="20"/>
      <c r="Q181" s="20"/>
      <c r="R181" s="48" t="s">
        <v>360</v>
      </c>
      <c r="S181" s="52"/>
    </row>
    <row r="182" spans="1:23" x14ac:dyDescent="0.25">
      <c r="A182" s="306" t="s">
        <v>361</v>
      </c>
      <c r="B182" s="308" t="s">
        <v>362</v>
      </c>
      <c r="C182" s="17" t="s">
        <v>32</v>
      </c>
      <c r="D182" s="18">
        <f>SUM(D183:D185)+1271</f>
        <v>1271</v>
      </c>
      <c r="E182" s="18">
        <f>SUM(E183:E185)+1271</f>
        <v>1271</v>
      </c>
      <c r="F182" s="18">
        <f>SUM(F183:F185)+1271</f>
        <v>1271</v>
      </c>
      <c r="G182" s="18"/>
      <c r="H182" s="18"/>
      <c r="I182" s="261">
        <f t="shared" si="15"/>
        <v>1</v>
      </c>
      <c r="J182" s="48" t="s">
        <v>363</v>
      </c>
      <c r="K182" s="19" t="s">
        <v>298</v>
      </c>
      <c r="L182" s="98">
        <v>1995000</v>
      </c>
      <c r="M182" s="135">
        <v>1995579</v>
      </c>
      <c r="N182" s="20"/>
      <c r="O182" s="20"/>
      <c r="P182" s="20"/>
      <c r="Q182" s="20"/>
      <c r="R182" s="48" t="s">
        <v>364</v>
      </c>
      <c r="S182" s="52" t="s">
        <v>1686</v>
      </c>
    </row>
    <row r="183" spans="1:23" ht="25.5" x14ac:dyDescent="0.25">
      <c r="A183" s="406"/>
      <c r="B183" s="310"/>
      <c r="C183" s="22"/>
      <c r="D183" s="23"/>
      <c r="E183" s="23"/>
      <c r="F183" s="23"/>
      <c r="G183" s="23"/>
      <c r="H183" s="54"/>
      <c r="I183" s="262"/>
      <c r="J183" s="55" t="s">
        <v>365</v>
      </c>
      <c r="K183" s="24" t="s">
        <v>298</v>
      </c>
      <c r="L183" s="94">
        <v>6500</v>
      </c>
      <c r="M183" s="114">
        <v>952162</v>
      </c>
      <c r="N183" s="25"/>
      <c r="O183" s="25"/>
      <c r="P183" s="25"/>
      <c r="Q183" s="25"/>
      <c r="R183" s="49" t="s">
        <v>366</v>
      </c>
      <c r="S183" s="53" t="s">
        <v>1686</v>
      </c>
    </row>
    <row r="184" spans="1:23" ht="25.5" x14ac:dyDescent="0.25">
      <c r="A184" s="406"/>
      <c r="B184" s="310"/>
      <c r="C184" s="22"/>
      <c r="D184" s="23"/>
      <c r="E184" s="23"/>
      <c r="F184" s="23"/>
      <c r="G184" s="23"/>
      <c r="H184" s="54"/>
      <c r="I184" s="262"/>
      <c r="J184" s="55" t="s">
        <v>367</v>
      </c>
      <c r="K184" s="24" t="s">
        <v>298</v>
      </c>
      <c r="L184" s="94">
        <v>90000000</v>
      </c>
      <c r="M184" s="131">
        <v>85212958</v>
      </c>
      <c r="N184" s="25"/>
      <c r="O184" s="25"/>
      <c r="P184" s="25"/>
      <c r="Q184" s="25"/>
      <c r="R184" s="49" t="s">
        <v>1729</v>
      </c>
      <c r="S184" s="53" t="s">
        <v>1687</v>
      </c>
    </row>
    <row r="185" spans="1:23" ht="26.25" thickBot="1" x14ac:dyDescent="0.3">
      <c r="A185" s="307"/>
      <c r="B185" s="309"/>
      <c r="C185" s="22"/>
      <c r="D185" s="23"/>
      <c r="E185" s="23"/>
      <c r="F185" s="23"/>
      <c r="G185" s="23"/>
      <c r="H185" s="23"/>
      <c r="I185" s="279"/>
      <c r="J185" s="49" t="s">
        <v>368</v>
      </c>
      <c r="K185" s="24" t="s">
        <v>310</v>
      </c>
      <c r="L185" s="94">
        <v>290000</v>
      </c>
      <c r="M185" s="114">
        <v>293852</v>
      </c>
      <c r="N185" s="25"/>
      <c r="O185" s="25"/>
      <c r="P185" s="25"/>
      <c r="Q185" s="25"/>
      <c r="R185" s="49"/>
      <c r="S185" s="53"/>
    </row>
    <row r="186" spans="1:23" ht="49.5" customHeight="1" x14ac:dyDescent="0.25">
      <c r="A186" s="306" t="s">
        <v>369</v>
      </c>
      <c r="B186" s="308" t="s">
        <v>370</v>
      </c>
      <c r="C186" s="17" t="s">
        <v>32</v>
      </c>
      <c r="D186" s="18">
        <f>SUM(D187:D188)+890</f>
        <v>890</v>
      </c>
      <c r="E186" s="18">
        <f>SUM(E187:E188)+890</f>
        <v>890</v>
      </c>
      <c r="F186" s="18">
        <f>SUM(F187:F188)+890</f>
        <v>890</v>
      </c>
      <c r="G186" s="18"/>
      <c r="H186" s="18"/>
      <c r="I186" s="261">
        <f t="shared" si="15"/>
        <v>1</v>
      </c>
      <c r="J186" s="48" t="s">
        <v>371</v>
      </c>
      <c r="K186" s="19" t="s">
        <v>298</v>
      </c>
      <c r="L186" s="98">
        <v>745000</v>
      </c>
      <c r="M186" s="135">
        <v>767757</v>
      </c>
      <c r="N186" s="20"/>
      <c r="O186" s="20"/>
      <c r="P186" s="20"/>
      <c r="Q186" s="20"/>
      <c r="R186" s="48" t="s">
        <v>372</v>
      </c>
      <c r="S186" s="52"/>
    </row>
    <row r="187" spans="1:23" ht="38.25" x14ac:dyDescent="0.25">
      <c r="A187" s="406"/>
      <c r="B187" s="310"/>
      <c r="C187" s="22"/>
      <c r="D187" s="23"/>
      <c r="E187" s="23"/>
      <c r="F187" s="23"/>
      <c r="G187" s="23"/>
      <c r="H187" s="54"/>
      <c r="I187" s="262"/>
      <c r="J187" s="55" t="s">
        <v>373</v>
      </c>
      <c r="K187" s="24" t="s">
        <v>298</v>
      </c>
      <c r="L187" s="94">
        <v>18000000</v>
      </c>
      <c r="M187" s="134">
        <v>8352484</v>
      </c>
      <c r="N187" s="25"/>
      <c r="O187" s="25"/>
      <c r="P187" s="25"/>
      <c r="Q187" s="25"/>
      <c r="R187" s="49"/>
      <c r="S187" s="53" t="s">
        <v>1688</v>
      </c>
    </row>
    <row r="188" spans="1:23" ht="15.75" thickBot="1" x14ac:dyDescent="0.3">
      <c r="A188" s="307"/>
      <c r="B188" s="309"/>
      <c r="C188" s="22"/>
      <c r="D188" s="23"/>
      <c r="E188" s="23"/>
      <c r="F188" s="23"/>
      <c r="G188" s="23"/>
      <c r="H188" s="23"/>
      <c r="I188" s="279"/>
      <c r="J188" s="49" t="s">
        <v>374</v>
      </c>
      <c r="K188" s="24" t="s">
        <v>22</v>
      </c>
      <c r="L188" s="24">
        <v>971</v>
      </c>
      <c r="M188" s="110">
        <v>974</v>
      </c>
      <c r="N188" s="25"/>
      <c r="O188" s="25"/>
      <c r="P188" s="25"/>
      <c r="Q188" s="25"/>
      <c r="R188" s="49"/>
      <c r="S188" s="53"/>
    </row>
    <row r="189" spans="1:23" ht="26.25" thickBot="1" x14ac:dyDescent="0.3">
      <c r="A189" s="16" t="s">
        <v>375</v>
      </c>
      <c r="B189" s="42" t="s">
        <v>376</v>
      </c>
      <c r="C189" s="17" t="s">
        <v>32</v>
      </c>
      <c r="D189" s="26">
        <v>403.9</v>
      </c>
      <c r="E189" s="26">
        <v>403.9</v>
      </c>
      <c r="F189" s="26">
        <v>403.9</v>
      </c>
      <c r="G189" s="26"/>
      <c r="H189" s="26"/>
      <c r="I189" s="264">
        <f t="shared" si="15"/>
        <v>1</v>
      </c>
      <c r="J189" s="48" t="s">
        <v>377</v>
      </c>
      <c r="K189" s="19" t="s">
        <v>298</v>
      </c>
      <c r="L189" s="98">
        <v>2900000</v>
      </c>
      <c r="M189" s="136">
        <v>2818702</v>
      </c>
      <c r="N189" s="20"/>
      <c r="O189" s="20"/>
      <c r="P189" s="20"/>
      <c r="Q189" s="20"/>
      <c r="R189" s="48" t="s">
        <v>378</v>
      </c>
      <c r="S189" s="52" t="s">
        <v>1689</v>
      </c>
    </row>
    <row r="190" spans="1:23" ht="26.25" customHeight="1" x14ac:dyDescent="0.25">
      <c r="A190" s="306" t="s">
        <v>379</v>
      </c>
      <c r="B190" s="308" t="s">
        <v>380</v>
      </c>
      <c r="C190" s="17" t="s">
        <v>32</v>
      </c>
      <c r="D190" s="18">
        <f>SUM(D191:D193)+238.1</f>
        <v>238.1</v>
      </c>
      <c r="E190" s="18">
        <f>SUM(E191:E193)+238.1</f>
        <v>238.1</v>
      </c>
      <c r="F190" s="18">
        <f>SUM(F191:F193)+237.8</f>
        <v>237.8</v>
      </c>
      <c r="G190" s="18">
        <f>SUM(G191:G193)+0.3</f>
        <v>0.3</v>
      </c>
      <c r="H190" s="18">
        <f>SUM(H191:H193)+0.3</f>
        <v>0.3</v>
      </c>
      <c r="I190" s="261">
        <f t="shared" si="15"/>
        <v>0.99874002519949612</v>
      </c>
      <c r="J190" s="48" t="s">
        <v>381</v>
      </c>
      <c r="K190" s="19" t="s">
        <v>298</v>
      </c>
      <c r="L190" s="98">
        <v>12300</v>
      </c>
      <c r="M190" s="135">
        <v>14271</v>
      </c>
      <c r="N190" s="20"/>
      <c r="O190" s="20"/>
      <c r="P190" s="20"/>
      <c r="Q190" s="20"/>
      <c r="R190" s="48"/>
      <c r="S190" s="52"/>
    </row>
    <row r="191" spans="1:23" ht="38.25" x14ac:dyDescent="0.25">
      <c r="A191" s="406"/>
      <c r="B191" s="310"/>
      <c r="C191" s="22"/>
      <c r="D191" s="23"/>
      <c r="E191" s="23"/>
      <c r="F191" s="23"/>
      <c r="G191" s="23"/>
      <c r="H191" s="54"/>
      <c r="I191" s="262"/>
      <c r="J191" s="55" t="s">
        <v>382</v>
      </c>
      <c r="K191" s="24" t="s">
        <v>22</v>
      </c>
      <c r="L191" s="94">
        <v>60000</v>
      </c>
      <c r="M191" s="131">
        <v>44017</v>
      </c>
      <c r="N191" s="25"/>
      <c r="O191" s="25"/>
      <c r="P191" s="25"/>
      <c r="Q191" s="25"/>
      <c r="R191" s="49"/>
      <c r="S191" s="53" t="s">
        <v>1705</v>
      </c>
    </row>
    <row r="192" spans="1:23" ht="68.25" customHeight="1" x14ac:dyDescent="0.25">
      <c r="A192" s="406"/>
      <c r="B192" s="310"/>
      <c r="C192" s="22"/>
      <c r="D192" s="23"/>
      <c r="E192" s="23"/>
      <c r="F192" s="23"/>
      <c r="G192" s="23"/>
      <c r="H192" s="54"/>
      <c r="I192" s="262"/>
      <c r="J192" s="55" t="s">
        <v>383</v>
      </c>
      <c r="K192" s="24" t="s">
        <v>298</v>
      </c>
      <c r="L192" s="24">
        <v>50</v>
      </c>
      <c r="M192" s="114">
        <v>1896</v>
      </c>
      <c r="N192" s="25"/>
      <c r="O192" s="25"/>
      <c r="P192" s="25"/>
      <c r="Q192" s="25"/>
      <c r="R192" s="49" t="s">
        <v>384</v>
      </c>
      <c r="S192" s="53"/>
    </row>
    <row r="193" spans="1:19" ht="27" customHeight="1" thickBot="1" x14ac:dyDescent="0.3">
      <c r="A193" s="307"/>
      <c r="B193" s="309"/>
      <c r="C193" s="22"/>
      <c r="D193" s="23"/>
      <c r="E193" s="23"/>
      <c r="F193" s="23"/>
      <c r="G193" s="23"/>
      <c r="H193" s="23"/>
      <c r="I193" s="279"/>
      <c r="J193" s="49" t="s">
        <v>385</v>
      </c>
      <c r="K193" s="24" t="s">
        <v>22</v>
      </c>
      <c r="L193" s="24">
        <v>350</v>
      </c>
      <c r="M193" s="110">
        <v>702</v>
      </c>
      <c r="N193" s="25"/>
      <c r="O193" s="25"/>
      <c r="P193" s="25"/>
      <c r="Q193" s="25"/>
      <c r="R193" s="49" t="s">
        <v>1703</v>
      </c>
      <c r="S193" s="53"/>
    </row>
    <row r="194" spans="1:19" x14ac:dyDescent="0.25">
      <c r="A194" s="306" t="s">
        <v>386</v>
      </c>
      <c r="B194" s="308" t="s">
        <v>387</v>
      </c>
      <c r="C194" s="17"/>
      <c r="D194" s="18">
        <f>SUM(D195:D196)</f>
        <v>719</v>
      </c>
      <c r="E194" s="18">
        <f>SUM(E195:E196)</f>
        <v>719</v>
      </c>
      <c r="F194" s="18">
        <f>SUM(F195:F196)</f>
        <v>718.1</v>
      </c>
      <c r="G194" s="18">
        <f>SUM(G195:G196)</f>
        <v>0.9</v>
      </c>
      <c r="H194" s="18">
        <f>SUM(H195:H196)</f>
        <v>0.9</v>
      </c>
      <c r="I194" s="261">
        <f t="shared" si="15"/>
        <v>0.99874826147426987</v>
      </c>
      <c r="J194" s="48" t="s">
        <v>388</v>
      </c>
      <c r="K194" s="19" t="s">
        <v>22</v>
      </c>
      <c r="L194" s="19">
        <v>90</v>
      </c>
      <c r="M194" s="108">
        <v>331</v>
      </c>
      <c r="N194" s="20"/>
      <c r="O194" s="20"/>
      <c r="P194" s="20"/>
      <c r="Q194" s="20"/>
      <c r="R194" s="146" t="s">
        <v>389</v>
      </c>
      <c r="S194" s="52" t="s">
        <v>1690</v>
      </c>
    </row>
    <row r="195" spans="1:19" ht="25.5" customHeight="1" x14ac:dyDescent="0.25">
      <c r="A195" s="406"/>
      <c r="B195" s="310"/>
      <c r="C195" s="22" t="s">
        <v>30</v>
      </c>
      <c r="D195" s="23">
        <v>200</v>
      </c>
      <c r="E195" s="23">
        <v>200</v>
      </c>
      <c r="F195" s="23">
        <v>199.6</v>
      </c>
      <c r="G195" s="23">
        <v>0.4</v>
      </c>
      <c r="H195" s="54">
        <v>0.4</v>
      </c>
      <c r="I195" s="262">
        <f t="shared" si="15"/>
        <v>0.998</v>
      </c>
      <c r="J195" s="333" t="s">
        <v>390</v>
      </c>
      <c r="K195" s="334" t="s">
        <v>253</v>
      </c>
      <c r="L195" s="334">
        <v>800</v>
      </c>
      <c r="M195" s="468">
        <v>1156</v>
      </c>
      <c r="N195" s="25"/>
      <c r="O195" s="25"/>
      <c r="P195" s="25"/>
      <c r="Q195" s="25"/>
      <c r="R195" s="477"/>
      <c r="S195" s="339"/>
    </row>
    <row r="196" spans="1:19" ht="15.75" thickBot="1" x14ac:dyDescent="0.3">
      <c r="A196" s="307"/>
      <c r="B196" s="309"/>
      <c r="C196" s="22" t="s">
        <v>32</v>
      </c>
      <c r="D196" s="23">
        <v>519</v>
      </c>
      <c r="E196" s="23">
        <v>519</v>
      </c>
      <c r="F196" s="23">
        <v>518.5</v>
      </c>
      <c r="G196" s="23">
        <v>0.5</v>
      </c>
      <c r="H196" s="23">
        <v>0.5</v>
      </c>
      <c r="I196" s="279">
        <f t="shared" si="15"/>
        <v>0.99903660886319845</v>
      </c>
      <c r="J196" s="316"/>
      <c r="K196" s="325"/>
      <c r="L196" s="325"/>
      <c r="M196" s="359"/>
      <c r="N196" s="25"/>
      <c r="O196" s="25"/>
      <c r="P196" s="25"/>
      <c r="Q196" s="25"/>
      <c r="R196" s="478"/>
      <c r="S196" s="305"/>
    </row>
    <row r="197" spans="1:19" ht="26.25" thickBot="1" x14ac:dyDescent="0.3">
      <c r="A197" s="16" t="s">
        <v>391</v>
      </c>
      <c r="B197" s="42" t="s">
        <v>392</v>
      </c>
      <c r="C197" s="17" t="s">
        <v>32</v>
      </c>
      <c r="D197" s="26">
        <v>63.3</v>
      </c>
      <c r="E197" s="26">
        <v>63.3</v>
      </c>
      <c r="F197" s="26">
        <v>63.2</v>
      </c>
      <c r="G197" s="26">
        <v>0.1</v>
      </c>
      <c r="H197" s="26">
        <v>0.1</v>
      </c>
      <c r="I197" s="264">
        <f t="shared" si="15"/>
        <v>0.99842022116903639</v>
      </c>
      <c r="J197" s="48" t="s">
        <v>393</v>
      </c>
      <c r="K197" s="19" t="s">
        <v>22</v>
      </c>
      <c r="L197" s="19">
        <v>200</v>
      </c>
      <c r="M197" s="108">
        <v>208</v>
      </c>
      <c r="N197" s="20"/>
      <c r="O197" s="20"/>
      <c r="P197" s="20"/>
      <c r="Q197" s="20"/>
      <c r="R197" s="146" t="s">
        <v>394</v>
      </c>
      <c r="S197" s="52"/>
    </row>
    <row r="198" spans="1:19" ht="38.25" x14ac:dyDescent="0.25">
      <c r="A198" s="306" t="s">
        <v>395</v>
      </c>
      <c r="B198" s="308" t="s">
        <v>396</v>
      </c>
      <c r="C198" s="17" t="s">
        <v>32</v>
      </c>
      <c r="D198" s="18">
        <f>SUM(D199:D200)+1901</f>
        <v>1901</v>
      </c>
      <c r="E198" s="18">
        <f>SUM(E199:E200)+1901</f>
        <v>1901</v>
      </c>
      <c r="F198" s="18">
        <f>SUM(F199:F200)+1899.9</f>
        <v>1899.9</v>
      </c>
      <c r="G198" s="18">
        <f>SUM(G199:G200)+1.1</f>
        <v>1.1000000000000001</v>
      </c>
      <c r="H198" s="18">
        <f>SUM(H199:H200)+1.1</f>
        <v>1.1000000000000001</v>
      </c>
      <c r="I198" s="261">
        <f t="shared" si="15"/>
        <v>0.99942135718043135</v>
      </c>
      <c r="J198" s="48" t="s">
        <v>397</v>
      </c>
      <c r="K198" s="19" t="s">
        <v>22</v>
      </c>
      <c r="L198" s="98">
        <v>15000</v>
      </c>
      <c r="M198" s="135">
        <v>15921</v>
      </c>
      <c r="N198" s="20"/>
      <c r="O198" s="20"/>
      <c r="P198" s="20"/>
      <c r="Q198" s="20"/>
      <c r="R198" s="48" t="s">
        <v>398</v>
      </c>
      <c r="S198" s="303"/>
    </row>
    <row r="199" spans="1:19" x14ac:dyDescent="0.25">
      <c r="A199" s="406"/>
      <c r="B199" s="310"/>
      <c r="C199" s="22"/>
      <c r="D199" s="23"/>
      <c r="E199" s="23"/>
      <c r="F199" s="23"/>
      <c r="G199" s="23"/>
      <c r="H199" s="54"/>
      <c r="I199" s="262"/>
      <c r="J199" s="55" t="s">
        <v>399</v>
      </c>
      <c r="K199" s="24" t="s">
        <v>22</v>
      </c>
      <c r="L199" s="24">
        <v>49</v>
      </c>
      <c r="M199" s="104">
        <v>49</v>
      </c>
      <c r="N199" s="25"/>
      <c r="O199" s="25"/>
      <c r="P199" s="25"/>
      <c r="Q199" s="25"/>
      <c r="R199" s="49"/>
      <c r="S199" s="304"/>
    </row>
    <row r="200" spans="1:19" ht="15.75" thickBot="1" x14ac:dyDescent="0.3">
      <c r="A200" s="307"/>
      <c r="B200" s="309"/>
      <c r="C200" s="22"/>
      <c r="D200" s="23"/>
      <c r="E200" s="23"/>
      <c r="F200" s="23"/>
      <c r="G200" s="23"/>
      <c r="H200" s="23"/>
      <c r="I200" s="279"/>
      <c r="J200" s="49" t="s">
        <v>400</v>
      </c>
      <c r="K200" s="24" t="s">
        <v>22</v>
      </c>
      <c r="L200" s="94">
        <v>11600</v>
      </c>
      <c r="M200" s="114">
        <v>12456</v>
      </c>
      <c r="N200" s="25"/>
      <c r="O200" s="25"/>
      <c r="P200" s="25"/>
      <c r="Q200" s="25"/>
      <c r="R200" s="49"/>
      <c r="S200" s="305"/>
    </row>
    <row r="201" spans="1:19" ht="39" thickBot="1" x14ac:dyDescent="0.3">
      <c r="A201" s="16" t="s">
        <v>401</v>
      </c>
      <c r="B201" s="42" t="s">
        <v>402</v>
      </c>
      <c r="C201" s="17" t="s">
        <v>32</v>
      </c>
      <c r="D201" s="26">
        <v>461</v>
      </c>
      <c r="E201" s="26">
        <v>461</v>
      </c>
      <c r="F201" s="26">
        <v>459.8</v>
      </c>
      <c r="G201" s="26">
        <v>1.2</v>
      </c>
      <c r="H201" s="26">
        <v>1.2</v>
      </c>
      <c r="I201" s="264">
        <f t="shared" si="15"/>
        <v>0.99739696312364423</v>
      </c>
      <c r="J201" s="48" t="s">
        <v>403</v>
      </c>
      <c r="K201" s="19" t="s">
        <v>404</v>
      </c>
      <c r="L201" s="98">
        <v>3200000</v>
      </c>
      <c r="M201" s="136">
        <v>2530222</v>
      </c>
      <c r="N201" s="20"/>
      <c r="O201" s="20"/>
      <c r="P201" s="20"/>
      <c r="Q201" s="20"/>
      <c r="R201" s="48" t="s">
        <v>405</v>
      </c>
      <c r="S201" s="52" t="s">
        <v>1691</v>
      </c>
    </row>
    <row r="202" spans="1:19" ht="79.5" customHeight="1" thickBot="1" x14ac:dyDescent="0.3">
      <c r="A202" s="16" t="s">
        <v>406</v>
      </c>
      <c r="B202" s="42" t="s">
        <v>407</v>
      </c>
      <c r="C202" s="17" t="s">
        <v>32</v>
      </c>
      <c r="D202" s="26">
        <v>70</v>
      </c>
      <c r="E202" s="26">
        <v>70</v>
      </c>
      <c r="F202" s="26">
        <v>66.400000000000006</v>
      </c>
      <c r="G202" s="26">
        <v>3.6</v>
      </c>
      <c r="H202" s="26">
        <v>3.6</v>
      </c>
      <c r="I202" s="264">
        <f t="shared" si="15"/>
        <v>0.94857142857142862</v>
      </c>
      <c r="J202" s="48" t="s">
        <v>408</v>
      </c>
      <c r="K202" s="19" t="s">
        <v>22</v>
      </c>
      <c r="L202" s="19">
        <v>50</v>
      </c>
      <c r="M202" s="108">
        <v>52</v>
      </c>
      <c r="N202" s="20"/>
      <c r="O202" s="20"/>
      <c r="P202" s="20"/>
      <c r="Q202" s="20"/>
      <c r="R202" s="146" t="s">
        <v>1799</v>
      </c>
      <c r="S202" s="52"/>
    </row>
    <row r="203" spans="1:19" ht="38.25" customHeight="1" thickBot="1" x14ac:dyDescent="0.3">
      <c r="A203" s="16" t="s">
        <v>409</v>
      </c>
      <c r="B203" s="42" t="s">
        <v>410</v>
      </c>
      <c r="C203" s="17" t="s">
        <v>32</v>
      </c>
      <c r="D203" s="26">
        <v>162</v>
      </c>
      <c r="E203" s="26">
        <v>162</v>
      </c>
      <c r="F203" s="26">
        <v>162</v>
      </c>
      <c r="G203" s="26"/>
      <c r="H203" s="26"/>
      <c r="I203" s="264">
        <f t="shared" si="15"/>
        <v>1</v>
      </c>
      <c r="J203" s="48" t="s">
        <v>411</v>
      </c>
      <c r="K203" s="19" t="s">
        <v>412</v>
      </c>
      <c r="L203" s="98">
        <v>412202</v>
      </c>
      <c r="M203" s="135">
        <v>444019.95</v>
      </c>
      <c r="N203" s="20"/>
      <c r="O203" s="20"/>
      <c r="P203" s="20"/>
      <c r="Q203" s="20"/>
      <c r="R203" s="48" t="s">
        <v>1708</v>
      </c>
      <c r="S203" s="52"/>
    </row>
    <row r="204" spans="1:19" ht="26.25" hidden="1" thickBot="1" x14ac:dyDescent="0.3">
      <c r="A204" s="16" t="s">
        <v>413</v>
      </c>
      <c r="B204" s="42" t="s">
        <v>414</v>
      </c>
      <c r="C204" s="17"/>
      <c r="D204" s="26"/>
      <c r="E204" s="26"/>
      <c r="F204" s="26"/>
      <c r="G204" s="26"/>
      <c r="H204" s="26"/>
      <c r="I204" s="264"/>
      <c r="J204" s="48"/>
      <c r="K204" s="19"/>
      <c r="L204" s="19"/>
      <c r="M204" s="19"/>
      <c r="N204" s="20"/>
      <c r="O204" s="20"/>
      <c r="P204" s="20"/>
      <c r="Q204" s="20"/>
      <c r="R204" s="48"/>
      <c r="S204" s="52"/>
    </row>
    <row r="205" spans="1:19" ht="25.5" x14ac:dyDescent="0.25">
      <c r="A205" s="306" t="s">
        <v>415</v>
      </c>
      <c r="B205" s="308" t="s">
        <v>416</v>
      </c>
      <c r="C205" s="17" t="s">
        <v>32</v>
      </c>
      <c r="D205" s="18">
        <f>SUM(D206:D206)+516.2</f>
        <v>516.20000000000005</v>
      </c>
      <c r="E205" s="18">
        <f>SUM(E206:E206)+516.2</f>
        <v>516.20000000000005</v>
      </c>
      <c r="F205" s="18">
        <f>SUM(F206:F206)+511.6</f>
        <v>511.6</v>
      </c>
      <c r="G205" s="18">
        <f>SUM(G206:G206)+4.6</f>
        <v>4.5999999999999996</v>
      </c>
      <c r="H205" s="18">
        <f>SUM(H206:H206)+4.6</f>
        <v>4.5999999999999996</v>
      </c>
      <c r="I205" s="264">
        <f t="shared" si="15"/>
        <v>0.99108872530027115</v>
      </c>
      <c r="J205" s="48" t="s">
        <v>417</v>
      </c>
      <c r="K205" s="19" t="s">
        <v>22</v>
      </c>
      <c r="L205" s="19">
        <v>76</v>
      </c>
      <c r="M205" s="111">
        <v>76</v>
      </c>
      <c r="N205" s="20"/>
      <c r="O205" s="20"/>
      <c r="P205" s="20"/>
      <c r="Q205" s="20"/>
      <c r="R205" s="48" t="s">
        <v>418</v>
      </c>
      <c r="S205" s="303"/>
    </row>
    <row r="206" spans="1:19" ht="39" thickBot="1" x14ac:dyDescent="0.3">
      <c r="A206" s="307"/>
      <c r="B206" s="309"/>
      <c r="C206" s="22"/>
      <c r="D206" s="23"/>
      <c r="E206" s="23"/>
      <c r="F206" s="23"/>
      <c r="G206" s="23"/>
      <c r="H206" s="23"/>
      <c r="I206" s="279"/>
      <c r="J206" s="49" t="s">
        <v>419</v>
      </c>
      <c r="K206" s="67" t="s">
        <v>420</v>
      </c>
      <c r="L206" s="94">
        <v>900000</v>
      </c>
      <c r="M206" s="114">
        <v>1105601</v>
      </c>
      <c r="N206" s="25"/>
      <c r="O206" s="25"/>
      <c r="P206" s="25"/>
      <c r="Q206" s="25"/>
      <c r="R206" s="49"/>
      <c r="S206" s="305"/>
    </row>
    <row r="207" spans="1:19" ht="15.75" thickBot="1" x14ac:dyDescent="0.3">
      <c r="A207" s="16" t="s">
        <v>421</v>
      </c>
      <c r="B207" s="42" t="s">
        <v>422</v>
      </c>
      <c r="C207" s="17" t="s">
        <v>32</v>
      </c>
      <c r="D207" s="26">
        <v>7.5</v>
      </c>
      <c r="E207" s="26">
        <v>7.5</v>
      </c>
      <c r="F207" s="26">
        <v>7.5</v>
      </c>
      <c r="G207" s="26"/>
      <c r="H207" s="26"/>
      <c r="I207" s="264">
        <f t="shared" si="15"/>
        <v>1</v>
      </c>
      <c r="J207" s="48" t="s">
        <v>423</v>
      </c>
      <c r="K207" s="19" t="s">
        <v>22</v>
      </c>
      <c r="L207" s="19">
        <v>12</v>
      </c>
      <c r="M207" s="111">
        <v>12</v>
      </c>
      <c r="N207" s="20"/>
      <c r="O207" s="20"/>
      <c r="P207" s="20"/>
      <c r="Q207" s="20"/>
      <c r="R207" s="48"/>
      <c r="S207" s="52"/>
    </row>
    <row r="208" spans="1:19" ht="26.25" customHeight="1" x14ac:dyDescent="0.25">
      <c r="A208" s="306" t="s">
        <v>424</v>
      </c>
      <c r="B208" s="308" t="s">
        <v>425</v>
      </c>
      <c r="C208" s="17" t="s">
        <v>32</v>
      </c>
      <c r="D208" s="18">
        <f>SUM(D209:D209)+6.1</f>
        <v>6.1</v>
      </c>
      <c r="E208" s="18">
        <f>SUM(E209:E209)+6.1</f>
        <v>6.1</v>
      </c>
      <c r="F208" s="18">
        <f>SUM(F209:F209)+6</f>
        <v>6</v>
      </c>
      <c r="G208" s="18">
        <f>SUM(G209:G209)+0.1</f>
        <v>0.1</v>
      </c>
      <c r="H208" s="18">
        <f>SUM(H209:H209)+0.1</f>
        <v>0.1</v>
      </c>
      <c r="I208" s="264">
        <f t="shared" si="15"/>
        <v>0.98360655737704927</v>
      </c>
      <c r="J208" s="48" t="s">
        <v>426</v>
      </c>
      <c r="K208" s="19" t="s">
        <v>22</v>
      </c>
      <c r="L208" s="19">
        <v>200</v>
      </c>
      <c r="M208" s="107">
        <v>197</v>
      </c>
      <c r="N208" s="20"/>
      <c r="O208" s="20"/>
      <c r="P208" s="20"/>
      <c r="Q208" s="20"/>
      <c r="R208" s="147"/>
      <c r="S208" s="52" t="s">
        <v>1706</v>
      </c>
    </row>
    <row r="209" spans="1:19" ht="26.25" thickBot="1" x14ac:dyDescent="0.3">
      <c r="A209" s="307"/>
      <c r="B209" s="309"/>
      <c r="C209" s="22"/>
      <c r="D209" s="23"/>
      <c r="E209" s="23"/>
      <c r="F209" s="23"/>
      <c r="G209" s="23"/>
      <c r="H209" s="23"/>
      <c r="I209" s="279"/>
      <c r="J209" s="49" t="s">
        <v>427</v>
      </c>
      <c r="K209" s="24" t="s">
        <v>428</v>
      </c>
      <c r="L209" s="94">
        <v>3300</v>
      </c>
      <c r="M209" s="114">
        <v>3393</v>
      </c>
      <c r="N209" s="25"/>
      <c r="O209" s="25"/>
      <c r="P209" s="25"/>
      <c r="Q209" s="25"/>
      <c r="R209" s="49"/>
      <c r="S209" s="53"/>
    </row>
    <row r="210" spans="1:19" ht="52.5" customHeight="1" x14ac:dyDescent="0.25">
      <c r="A210" s="306" t="s">
        <v>429</v>
      </c>
      <c r="B210" s="308" t="s">
        <v>430</v>
      </c>
      <c r="C210" s="17" t="s">
        <v>32</v>
      </c>
      <c r="D210" s="18">
        <f>SUM(D211:D211)+169</f>
        <v>169</v>
      </c>
      <c r="E210" s="18">
        <f>SUM(E211:E211)+169</f>
        <v>169</v>
      </c>
      <c r="F210" s="18">
        <f>SUM(F211:F211)+168.9</f>
        <v>168.9</v>
      </c>
      <c r="G210" s="18">
        <f>SUM(G211:G211)+0.1</f>
        <v>0.1</v>
      </c>
      <c r="H210" s="18">
        <f>SUM(H211:H211)+0.1</f>
        <v>0.1</v>
      </c>
      <c r="I210" s="264">
        <f t="shared" si="15"/>
        <v>0.99940828402366866</v>
      </c>
      <c r="J210" s="48" t="s">
        <v>431</v>
      </c>
      <c r="K210" s="19" t="s">
        <v>22</v>
      </c>
      <c r="L210" s="19">
        <v>41</v>
      </c>
      <c r="M210" s="108">
        <v>46</v>
      </c>
      <c r="N210" s="20"/>
      <c r="O210" s="20"/>
      <c r="P210" s="20"/>
      <c r="Q210" s="20"/>
      <c r="R210" s="48" t="s">
        <v>1800</v>
      </c>
      <c r="S210" s="52"/>
    </row>
    <row r="211" spans="1:19" ht="26.25" thickBot="1" x14ac:dyDescent="0.3">
      <c r="A211" s="307"/>
      <c r="B211" s="309"/>
      <c r="C211" s="22"/>
      <c r="D211" s="23"/>
      <c r="E211" s="23"/>
      <c r="F211" s="23"/>
      <c r="G211" s="23"/>
      <c r="H211" s="23"/>
      <c r="I211" s="279"/>
      <c r="J211" s="49" t="s">
        <v>432</v>
      </c>
      <c r="K211" s="24" t="s">
        <v>22</v>
      </c>
      <c r="L211" s="24">
        <v>1</v>
      </c>
      <c r="M211" s="104">
        <v>1</v>
      </c>
      <c r="N211" s="25"/>
      <c r="O211" s="25"/>
      <c r="P211" s="25"/>
      <c r="Q211" s="25"/>
      <c r="R211" s="49"/>
      <c r="S211" s="53"/>
    </row>
    <row r="212" spans="1:19" ht="51" x14ac:dyDescent="0.25">
      <c r="A212" s="306" t="s">
        <v>433</v>
      </c>
      <c r="B212" s="308" t="s">
        <v>434</v>
      </c>
      <c r="C212" s="17" t="s">
        <v>32</v>
      </c>
      <c r="D212" s="18">
        <f>SUM(D213:D214)+238.4</f>
        <v>238.4</v>
      </c>
      <c r="E212" s="18">
        <f>SUM(E213:E214)+238.4</f>
        <v>238.4</v>
      </c>
      <c r="F212" s="18">
        <f>SUM(F213:F214)+238</f>
        <v>238</v>
      </c>
      <c r="G212" s="18">
        <f>SUM(G213:G214)+0.4</f>
        <v>0.4</v>
      </c>
      <c r="H212" s="18">
        <f>SUM(H213:H214)+0.4</f>
        <v>0.4</v>
      </c>
      <c r="I212" s="261">
        <f t="shared" si="15"/>
        <v>0.99832214765100669</v>
      </c>
      <c r="J212" s="48" t="s">
        <v>435</v>
      </c>
      <c r="K212" s="19" t="s">
        <v>22</v>
      </c>
      <c r="L212" s="19">
        <v>30</v>
      </c>
      <c r="M212" s="112">
        <v>9</v>
      </c>
      <c r="N212" s="20"/>
      <c r="O212" s="20"/>
      <c r="P212" s="20"/>
      <c r="Q212" s="20"/>
      <c r="R212" s="48"/>
      <c r="S212" s="84" t="s">
        <v>1728</v>
      </c>
    </row>
    <row r="213" spans="1:19" ht="63.75" x14ac:dyDescent="0.25">
      <c r="A213" s="406"/>
      <c r="B213" s="310"/>
      <c r="C213" s="22"/>
      <c r="D213" s="23"/>
      <c r="E213" s="23"/>
      <c r="F213" s="23"/>
      <c r="G213" s="23"/>
      <c r="H213" s="54"/>
      <c r="I213" s="262"/>
      <c r="J213" s="55" t="s">
        <v>436</v>
      </c>
      <c r="K213" s="24" t="s">
        <v>22</v>
      </c>
      <c r="L213" s="24">
        <v>120</v>
      </c>
      <c r="M213" s="105">
        <v>57</v>
      </c>
      <c r="N213" s="25"/>
      <c r="O213" s="25"/>
      <c r="P213" s="25"/>
      <c r="Q213" s="25"/>
      <c r="R213" s="49" t="s">
        <v>437</v>
      </c>
      <c r="S213" s="53" t="s">
        <v>1692</v>
      </c>
    </row>
    <row r="214" spans="1:19" ht="15.75" thickBot="1" x14ac:dyDescent="0.3">
      <c r="A214" s="307"/>
      <c r="B214" s="309"/>
      <c r="C214" s="22"/>
      <c r="D214" s="23"/>
      <c r="E214" s="23"/>
      <c r="F214" s="23"/>
      <c r="G214" s="23"/>
      <c r="H214" s="23"/>
      <c r="I214" s="279"/>
      <c r="J214" s="49" t="s">
        <v>438</v>
      </c>
      <c r="K214" s="24" t="s">
        <v>22</v>
      </c>
      <c r="L214" s="24">
        <v>340</v>
      </c>
      <c r="M214" s="109">
        <v>240</v>
      </c>
      <c r="N214" s="25"/>
      <c r="O214" s="25"/>
      <c r="P214" s="25"/>
      <c r="Q214" s="25"/>
      <c r="R214" s="49"/>
      <c r="S214" s="53" t="s">
        <v>1733</v>
      </c>
    </row>
    <row r="215" spans="1:19" ht="21.75" customHeight="1" x14ac:dyDescent="0.25">
      <c r="A215" s="306" t="s">
        <v>439</v>
      </c>
      <c r="B215" s="308" t="s">
        <v>440</v>
      </c>
      <c r="C215" s="17"/>
      <c r="D215" s="18">
        <f>SUM(D216:D217)</f>
        <v>744.2</v>
      </c>
      <c r="E215" s="18">
        <f>SUM(E216:E217)</f>
        <v>744.2</v>
      </c>
      <c r="F215" s="18">
        <f>SUM(F216:F217)</f>
        <v>742.2</v>
      </c>
      <c r="G215" s="18">
        <f>SUM(G216:G217)</f>
        <v>2</v>
      </c>
      <c r="H215" s="18">
        <f>SUM(H216:H217)</f>
        <v>2</v>
      </c>
      <c r="I215" s="261">
        <f t="shared" si="15"/>
        <v>0.99731255038968014</v>
      </c>
      <c r="J215" s="314" t="s">
        <v>441</v>
      </c>
      <c r="K215" s="323" t="s">
        <v>298</v>
      </c>
      <c r="L215" s="340">
        <v>38000</v>
      </c>
      <c r="M215" s="343">
        <v>28553.05</v>
      </c>
      <c r="N215" s="20"/>
      <c r="O215" s="20"/>
      <c r="P215" s="20"/>
      <c r="Q215" s="20"/>
      <c r="R215" s="308" t="s">
        <v>442</v>
      </c>
      <c r="S215" s="326" t="s">
        <v>1693</v>
      </c>
    </row>
    <row r="216" spans="1:19" x14ac:dyDescent="0.25">
      <c r="A216" s="406"/>
      <c r="B216" s="310"/>
      <c r="C216" s="22" t="s">
        <v>32</v>
      </c>
      <c r="D216" s="23">
        <v>279.7</v>
      </c>
      <c r="E216" s="23">
        <v>279.7</v>
      </c>
      <c r="F216" s="23">
        <v>277.7</v>
      </c>
      <c r="G216" s="23">
        <v>2</v>
      </c>
      <c r="H216" s="54">
        <v>2</v>
      </c>
      <c r="I216" s="262">
        <f t="shared" si="15"/>
        <v>0.99284948158741504</v>
      </c>
      <c r="J216" s="315"/>
      <c r="K216" s="324"/>
      <c r="L216" s="341"/>
      <c r="M216" s="466"/>
      <c r="N216" s="25"/>
      <c r="O216" s="25"/>
      <c r="P216" s="25"/>
      <c r="Q216" s="25"/>
      <c r="R216" s="310"/>
      <c r="S216" s="332"/>
    </row>
    <row r="217" spans="1:19" ht="15.75" thickBot="1" x14ac:dyDescent="0.3">
      <c r="A217" s="307"/>
      <c r="B217" s="309"/>
      <c r="C217" s="22" t="s">
        <v>443</v>
      </c>
      <c r="D217" s="23">
        <v>464.5</v>
      </c>
      <c r="E217" s="23">
        <v>464.5</v>
      </c>
      <c r="F217" s="23">
        <v>464.5</v>
      </c>
      <c r="G217" s="23"/>
      <c r="H217" s="23"/>
      <c r="I217" s="279">
        <f t="shared" si="15"/>
        <v>1</v>
      </c>
      <c r="J217" s="316"/>
      <c r="K217" s="325"/>
      <c r="L217" s="342"/>
      <c r="M217" s="344"/>
      <c r="N217" s="25"/>
      <c r="O217" s="25"/>
      <c r="P217" s="25"/>
      <c r="Q217" s="25"/>
      <c r="R217" s="309"/>
      <c r="S217" s="327"/>
    </row>
    <row r="218" spans="1:19" ht="66" customHeight="1" x14ac:dyDescent="0.25">
      <c r="A218" s="306" t="s">
        <v>444</v>
      </c>
      <c r="B218" s="308" t="s">
        <v>445</v>
      </c>
      <c r="C218" s="17" t="s">
        <v>443</v>
      </c>
      <c r="D218" s="18">
        <f>SUM(D219:D219)+135</f>
        <v>135</v>
      </c>
      <c r="E218" s="18">
        <f>SUM(E219:E219)+135</f>
        <v>135</v>
      </c>
      <c r="F218" s="18">
        <f>SUM(F219:F219)+135</f>
        <v>135</v>
      </c>
      <c r="G218" s="18"/>
      <c r="H218" s="18"/>
      <c r="I218" s="264">
        <f t="shared" si="15"/>
        <v>1</v>
      </c>
      <c r="J218" s="48" t="s">
        <v>446</v>
      </c>
      <c r="K218" s="19" t="s">
        <v>22</v>
      </c>
      <c r="L218" s="19">
        <v>133</v>
      </c>
      <c r="M218" s="107">
        <v>126</v>
      </c>
      <c r="N218" s="20"/>
      <c r="O218" s="20"/>
      <c r="P218" s="20"/>
      <c r="Q218" s="20"/>
      <c r="R218" s="48"/>
      <c r="S218" s="52" t="s">
        <v>1694</v>
      </c>
    </row>
    <row r="219" spans="1:19" ht="26.25" thickBot="1" x14ac:dyDescent="0.3">
      <c r="A219" s="307"/>
      <c r="B219" s="309"/>
      <c r="C219" s="22"/>
      <c r="D219" s="23"/>
      <c r="E219" s="23"/>
      <c r="F219" s="23"/>
      <c r="G219" s="23"/>
      <c r="H219" s="23"/>
      <c r="I219" s="279"/>
      <c r="J219" s="49" t="s">
        <v>447</v>
      </c>
      <c r="K219" s="24" t="s">
        <v>448</v>
      </c>
      <c r="L219" s="24">
        <v>95</v>
      </c>
      <c r="M219" s="137">
        <v>57.21</v>
      </c>
      <c r="N219" s="25"/>
      <c r="O219" s="25"/>
      <c r="P219" s="25"/>
      <c r="Q219" s="25"/>
      <c r="R219" s="49"/>
      <c r="S219" s="53" t="s">
        <v>1695</v>
      </c>
    </row>
    <row r="220" spans="1:19" ht="51.75" thickBot="1" x14ac:dyDescent="0.3">
      <c r="A220" s="16" t="s">
        <v>449</v>
      </c>
      <c r="B220" s="42" t="s">
        <v>450</v>
      </c>
      <c r="C220" s="17" t="s">
        <v>443</v>
      </c>
      <c r="D220" s="26">
        <v>58.6</v>
      </c>
      <c r="E220" s="26">
        <v>58.6</v>
      </c>
      <c r="F220" s="26">
        <v>58.6</v>
      </c>
      <c r="G220" s="26"/>
      <c r="H220" s="26"/>
      <c r="I220" s="264">
        <f t="shared" si="15"/>
        <v>1</v>
      </c>
      <c r="J220" s="48" t="s">
        <v>451</v>
      </c>
      <c r="K220" s="19" t="s">
        <v>298</v>
      </c>
      <c r="L220" s="98">
        <v>20000</v>
      </c>
      <c r="M220" s="135">
        <v>20500</v>
      </c>
      <c r="N220" s="20"/>
      <c r="O220" s="20"/>
      <c r="P220" s="20"/>
      <c r="Q220" s="20"/>
      <c r="R220" s="48"/>
      <c r="S220" s="52"/>
    </row>
    <row r="221" spans="1:19" ht="38.25" x14ac:dyDescent="0.25">
      <c r="A221" s="306" t="s">
        <v>452</v>
      </c>
      <c r="B221" s="308" t="s">
        <v>453</v>
      </c>
      <c r="C221" s="17"/>
      <c r="D221" s="18">
        <f>SUM(D222:D223)</f>
        <v>88.4</v>
      </c>
      <c r="E221" s="18">
        <f>SUM(E222:E223)</f>
        <v>88.4</v>
      </c>
      <c r="F221" s="18">
        <f>SUM(F222:F223)-0.1</f>
        <v>88.2</v>
      </c>
      <c r="G221" s="18">
        <f>SUM(G222:G223)</f>
        <v>0.1</v>
      </c>
      <c r="H221" s="18">
        <f>SUM(H222:H223)</f>
        <v>0.1</v>
      </c>
      <c r="I221" s="261">
        <f t="shared" si="15"/>
        <v>0.99773755656108598</v>
      </c>
      <c r="J221" s="48" t="s">
        <v>454</v>
      </c>
      <c r="K221" s="19" t="s">
        <v>22</v>
      </c>
      <c r="L221" s="19">
        <v>750</v>
      </c>
      <c r="M221" s="107">
        <v>527</v>
      </c>
      <c r="N221" s="20"/>
      <c r="O221" s="20"/>
      <c r="P221" s="20"/>
      <c r="Q221" s="20"/>
      <c r="R221" s="48" t="s">
        <v>1709</v>
      </c>
      <c r="S221" s="52" t="s">
        <v>1706</v>
      </c>
    </row>
    <row r="222" spans="1:19" ht="25.5" customHeight="1" x14ac:dyDescent="0.25">
      <c r="A222" s="406"/>
      <c r="B222" s="310"/>
      <c r="C222" s="22" t="s">
        <v>443</v>
      </c>
      <c r="D222" s="23">
        <v>42.5</v>
      </c>
      <c r="E222" s="23">
        <v>42.5</v>
      </c>
      <c r="F222" s="23">
        <v>42.5</v>
      </c>
      <c r="G222" s="23"/>
      <c r="H222" s="54"/>
      <c r="I222" s="262">
        <f t="shared" si="15"/>
        <v>1</v>
      </c>
      <c r="J222" s="333" t="s">
        <v>455</v>
      </c>
      <c r="K222" s="334" t="s">
        <v>22</v>
      </c>
      <c r="L222" s="334">
        <v>15</v>
      </c>
      <c r="M222" s="353">
        <v>15</v>
      </c>
      <c r="N222" s="25"/>
      <c r="O222" s="25"/>
      <c r="P222" s="25"/>
      <c r="Q222" s="25"/>
      <c r="R222" s="378"/>
      <c r="S222" s="339"/>
    </row>
    <row r="223" spans="1:19" ht="15.75" thickBot="1" x14ac:dyDescent="0.3">
      <c r="A223" s="307"/>
      <c r="B223" s="309"/>
      <c r="C223" s="22" t="s">
        <v>32</v>
      </c>
      <c r="D223" s="23">
        <v>45.9</v>
      </c>
      <c r="E223" s="23">
        <v>45.9</v>
      </c>
      <c r="F223" s="23">
        <v>45.8</v>
      </c>
      <c r="G223" s="23">
        <v>0.1</v>
      </c>
      <c r="H223" s="23">
        <v>0.1</v>
      </c>
      <c r="I223" s="279">
        <f t="shared" si="15"/>
        <v>0.9978213507625272</v>
      </c>
      <c r="J223" s="316"/>
      <c r="K223" s="325"/>
      <c r="L223" s="325"/>
      <c r="M223" s="349"/>
      <c r="N223" s="25"/>
      <c r="O223" s="25"/>
      <c r="P223" s="25"/>
      <c r="Q223" s="25"/>
      <c r="R223" s="299"/>
      <c r="S223" s="305"/>
    </row>
    <row r="224" spans="1:19" ht="30" customHeight="1" thickBot="1" x14ac:dyDescent="0.3">
      <c r="A224" s="68" t="s">
        <v>456</v>
      </c>
      <c r="B224" s="48" t="s">
        <v>457</v>
      </c>
      <c r="C224" s="17" t="s">
        <v>443</v>
      </c>
      <c r="D224" s="26">
        <v>46</v>
      </c>
      <c r="E224" s="26">
        <v>46</v>
      </c>
      <c r="F224" s="26">
        <v>46</v>
      </c>
      <c r="G224" s="26"/>
      <c r="H224" s="26"/>
      <c r="I224" s="264">
        <f t="shared" si="15"/>
        <v>1</v>
      </c>
      <c r="J224" s="48" t="s">
        <v>458</v>
      </c>
      <c r="K224" s="19" t="s">
        <v>22</v>
      </c>
      <c r="L224" s="19">
        <v>11</v>
      </c>
      <c r="M224" s="111">
        <v>11</v>
      </c>
      <c r="N224" s="20"/>
      <c r="O224" s="20"/>
      <c r="P224" s="20"/>
      <c r="Q224" s="20"/>
      <c r="R224" s="48"/>
      <c r="S224" s="52"/>
    </row>
    <row r="225" spans="1:19" ht="26.25" hidden="1" thickBot="1" x14ac:dyDescent="0.3">
      <c r="A225" s="68" t="s">
        <v>459</v>
      </c>
      <c r="B225" s="48" t="s">
        <v>460</v>
      </c>
      <c r="C225" s="17" t="s">
        <v>32</v>
      </c>
      <c r="D225" s="26"/>
      <c r="E225" s="26"/>
      <c r="F225" s="26"/>
      <c r="G225" s="26"/>
      <c r="H225" s="26"/>
      <c r="I225" s="264"/>
      <c r="J225" s="48"/>
      <c r="K225" s="19"/>
      <c r="L225" s="19"/>
      <c r="M225" s="19"/>
      <c r="N225" s="20"/>
      <c r="O225" s="20"/>
      <c r="P225" s="20"/>
      <c r="Q225" s="20"/>
      <c r="R225" s="48"/>
      <c r="S225" s="52"/>
    </row>
    <row r="226" spans="1:19" ht="51" customHeight="1" x14ac:dyDescent="0.25">
      <c r="A226" s="306" t="s">
        <v>461</v>
      </c>
      <c r="B226" s="308" t="s">
        <v>462</v>
      </c>
      <c r="C226" s="17"/>
      <c r="D226" s="18">
        <f>SUM(D227:D228)</f>
        <v>800</v>
      </c>
      <c r="E226" s="18">
        <f>SUM(E227:E228)</f>
        <v>800</v>
      </c>
      <c r="F226" s="18">
        <f>SUM(F227:F228)</f>
        <v>799.9</v>
      </c>
      <c r="G226" s="18">
        <f>SUM(G227:G228)</f>
        <v>0.1</v>
      </c>
      <c r="H226" s="18">
        <f>SUM(H227:H228)</f>
        <v>0.1</v>
      </c>
      <c r="I226" s="261">
        <f t="shared" si="15"/>
        <v>0.99987499999999996</v>
      </c>
      <c r="J226" s="314" t="s">
        <v>463</v>
      </c>
      <c r="K226" s="323" t="s">
        <v>22</v>
      </c>
      <c r="L226" s="323">
        <v>100</v>
      </c>
      <c r="M226" s="346">
        <v>176</v>
      </c>
      <c r="N226" s="20"/>
      <c r="O226" s="20"/>
      <c r="P226" s="20"/>
      <c r="Q226" s="20"/>
      <c r="R226" s="360" t="s">
        <v>1801</v>
      </c>
      <c r="S226" s="303"/>
    </row>
    <row r="227" spans="1:19" x14ac:dyDescent="0.25">
      <c r="A227" s="406"/>
      <c r="B227" s="310"/>
      <c r="C227" s="22" t="s">
        <v>208</v>
      </c>
      <c r="D227" s="23">
        <v>500</v>
      </c>
      <c r="E227" s="23">
        <v>500</v>
      </c>
      <c r="F227" s="23">
        <v>500</v>
      </c>
      <c r="G227" s="23"/>
      <c r="H227" s="54"/>
      <c r="I227" s="262">
        <f t="shared" si="15"/>
        <v>1</v>
      </c>
      <c r="J227" s="315"/>
      <c r="K227" s="324"/>
      <c r="L227" s="324"/>
      <c r="M227" s="336"/>
      <c r="N227" s="25"/>
      <c r="O227" s="25"/>
      <c r="P227" s="25"/>
      <c r="Q227" s="25"/>
      <c r="R227" s="361"/>
      <c r="S227" s="304"/>
    </row>
    <row r="228" spans="1:19" ht="15.75" thickBot="1" x14ac:dyDescent="0.3">
      <c r="A228" s="307"/>
      <c r="B228" s="309"/>
      <c r="C228" s="22" t="s">
        <v>32</v>
      </c>
      <c r="D228" s="23">
        <v>300</v>
      </c>
      <c r="E228" s="23">
        <v>300</v>
      </c>
      <c r="F228" s="23">
        <v>299.89999999999998</v>
      </c>
      <c r="G228" s="23">
        <v>0.1</v>
      </c>
      <c r="H228" s="23">
        <v>0.1</v>
      </c>
      <c r="I228" s="279">
        <f t="shared" si="15"/>
        <v>0.99966666666666659</v>
      </c>
      <c r="J228" s="316"/>
      <c r="K228" s="325"/>
      <c r="L228" s="325"/>
      <c r="M228" s="337"/>
      <c r="N228" s="25"/>
      <c r="O228" s="25"/>
      <c r="P228" s="25"/>
      <c r="Q228" s="25"/>
      <c r="R228" s="362"/>
      <c r="S228" s="305"/>
    </row>
    <row r="229" spans="1:19" ht="26.25" thickBot="1" x14ac:dyDescent="0.3">
      <c r="A229" s="13" t="s">
        <v>464</v>
      </c>
      <c r="B229" s="41" t="s">
        <v>465</v>
      </c>
      <c r="C229" s="14"/>
      <c r="D229" s="15">
        <f>D230+D233+D236</f>
        <v>1100.7</v>
      </c>
      <c r="E229" s="15">
        <f>E230+E233+E236</f>
        <v>1100.7</v>
      </c>
      <c r="F229" s="15">
        <f>F230+F233+F236-0.1</f>
        <v>959.9</v>
      </c>
      <c r="G229" s="15">
        <f>G230+G233+G236</f>
        <v>140.80000000000001</v>
      </c>
      <c r="H229" s="15">
        <f>H230+H233+H236</f>
        <v>140.80000000000001</v>
      </c>
      <c r="I229" s="260">
        <f>SUM(F229/E229)</f>
        <v>0.87208140274370849</v>
      </c>
      <c r="J229" s="329"/>
      <c r="K229" s="330"/>
      <c r="L229" s="330"/>
      <c r="M229" s="330"/>
      <c r="N229" s="330"/>
      <c r="O229" s="330"/>
      <c r="P229" s="330"/>
      <c r="Q229" s="330"/>
      <c r="R229" s="330"/>
      <c r="S229" s="331"/>
    </row>
    <row r="230" spans="1:19" ht="75" customHeight="1" x14ac:dyDescent="0.25">
      <c r="A230" s="306" t="s">
        <v>466</v>
      </c>
      <c r="B230" s="308" t="s">
        <v>467</v>
      </c>
      <c r="C230" s="17"/>
      <c r="D230" s="18">
        <f>SUM(D231:D232)</f>
        <v>700</v>
      </c>
      <c r="E230" s="18">
        <f>SUM(E231:E232)</f>
        <v>700</v>
      </c>
      <c r="F230" s="18">
        <f>SUM(F231:F232)</f>
        <v>699.9</v>
      </c>
      <c r="G230" s="18">
        <f>SUM(G231:G232)</f>
        <v>0.1</v>
      </c>
      <c r="H230" s="18">
        <f>SUM(H231:H232)</f>
        <v>0.1</v>
      </c>
      <c r="I230" s="261">
        <f t="shared" ref="I230:I239" si="16">SUM(F230/E230)</f>
        <v>0.99985714285714278</v>
      </c>
      <c r="J230" s="48" t="s">
        <v>468</v>
      </c>
      <c r="K230" s="19" t="s">
        <v>29</v>
      </c>
      <c r="L230" s="19">
        <v>100</v>
      </c>
      <c r="M230" s="111">
        <v>100</v>
      </c>
      <c r="N230" s="20"/>
      <c r="O230" s="20"/>
      <c r="P230" s="20"/>
      <c r="Q230" s="20"/>
      <c r="R230" s="297"/>
      <c r="S230" s="303"/>
    </row>
    <row r="231" spans="1:19" ht="30.75" customHeight="1" x14ac:dyDescent="0.25">
      <c r="A231" s="406"/>
      <c r="B231" s="310"/>
      <c r="C231" s="22" t="s">
        <v>32</v>
      </c>
      <c r="D231" s="23">
        <v>550</v>
      </c>
      <c r="E231" s="23">
        <v>550</v>
      </c>
      <c r="F231" s="23">
        <v>549.9</v>
      </c>
      <c r="G231" s="23">
        <v>0.1</v>
      </c>
      <c r="H231" s="54">
        <v>0.1</v>
      </c>
      <c r="I231" s="262">
        <f t="shared" si="16"/>
        <v>0.99981818181818183</v>
      </c>
      <c r="J231" s="333" t="s">
        <v>469</v>
      </c>
      <c r="K231" s="334" t="s">
        <v>298</v>
      </c>
      <c r="L231" s="467">
        <v>2700</v>
      </c>
      <c r="M231" s="468">
        <v>2850</v>
      </c>
      <c r="N231" s="25"/>
      <c r="O231" s="25"/>
      <c r="P231" s="25"/>
      <c r="Q231" s="25"/>
      <c r="R231" s="298"/>
      <c r="S231" s="304"/>
    </row>
    <row r="232" spans="1:19" ht="15.75" thickBot="1" x14ac:dyDescent="0.3">
      <c r="A232" s="307"/>
      <c r="B232" s="309"/>
      <c r="C232" s="22" t="s">
        <v>30</v>
      </c>
      <c r="D232" s="23">
        <v>150</v>
      </c>
      <c r="E232" s="23">
        <v>150</v>
      </c>
      <c r="F232" s="23">
        <v>150</v>
      </c>
      <c r="G232" s="23"/>
      <c r="H232" s="23"/>
      <c r="I232" s="279">
        <f t="shared" si="16"/>
        <v>1</v>
      </c>
      <c r="J232" s="316"/>
      <c r="K232" s="325"/>
      <c r="L232" s="342"/>
      <c r="M232" s="359"/>
      <c r="N232" s="25"/>
      <c r="O232" s="25"/>
      <c r="P232" s="25"/>
      <c r="Q232" s="25"/>
      <c r="R232" s="299"/>
      <c r="S232" s="305"/>
    </row>
    <row r="233" spans="1:19" ht="53.25" customHeight="1" x14ac:dyDescent="0.25">
      <c r="A233" s="306" t="s">
        <v>470</v>
      </c>
      <c r="B233" s="308" t="s">
        <v>471</v>
      </c>
      <c r="C233" s="17"/>
      <c r="D233" s="18">
        <f>SUM(D234:D235)</f>
        <v>262.5</v>
      </c>
      <c r="E233" s="18">
        <f>SUM(E234:E235)</f>
        <v>262.5</v>
      </c>
      <c r="F233" s="18">
        <f>SUM(F234:F235)</f>
        <v>168</v>
      </c>
      <c r="G233" s="18">
        <f>SUM(G234:G235)</f>
        <v>94.5</v>
      </c>
      <c r="H233" s="18">
        <f>SUM(H234:H235)</f>
        <v>94.5</v>
      </c>
      <c r="I233" s="261">
        <f t="shared" si="16"/>
        <v>0.64</v>
      </c>
      <c r="J233" s="48" t="s">
        <v>472</v>
      </c>
      <c r="K233" s="19" t="s">
        <v>29</v>
      </c>
      <c r="L233" s="19">
        <v>17</v>
      </c>
      <c r="M233" s="108">
        <v>95</v>
      </c>
      <c r="N233" s="20"/>
      <c r="O233" s="20"/>
      <c r="P233" s="20"/>
      <c r="Q233" s="20"/>
      <c r="R233" s="297"/>
      <c r="S233" s="300"/>
    </row>
    <row r="234" spans="1:19" ht="55.5" customHeight="1" x14ac:dyDescent="0.25">
      <c r="A234" s="406"/>
      <c r="B234" s="310"/>
      <c r="C234" s="22" t="s">
        <v>32</v>
      </c>
      <c r="D234" s="23">
        <v>69</v>
      </c>
      <c r="E234" s="23">
        <v>69</v>
      </c>
      <c r="F234" s="23"/>
      <c r="G234" s="23">
        <v>69</v>
      </c>
      <c r="H234" s="54">
        <v>69</v>
      </c>
      <c r="I234" s="262">
        <f t="shared" si="16"/>
        <v>0</v>
      </c>
      <c r="J234" s="333" t="s">
        <v>473</v>
      </c>
      <c r="K234" s="334" t="s">
        <v>29</v>
      </c>
      <c r="L234" s="334">
        <v>100</v>
      </c>
      <c r="M234" s="353">
        <v>100</v>
      </c>
      <c r="N234" s="25"/>
      <c r="O234" s="25"/>
      <c r="P234" s="25"/>
      <c r="Q234" s="25"/>
      <c r="R234" s="298"/>
      <c r="S234" s="301"/>
    </row>
    <row r="235" spans="1:19" ht="15.75" thickBot="1" x14ac:dyDescent="0.3">
      <c r="A235" s="307"/>
      <c r="B235" s="309"/>
      <c r="C235" s="22" t="s">
        <v>30</v>
      </c>
      <c r="D235" s="23">
        <v>193.5</v>
      </c>
      <c r="E235" s="23">
        <v>193.5</v>
      </c>
      <c r="F235" s="23">
        <v>168</v>
      </c>
      <c r="G235" s="23">
        <v>25.5</v>
      </c>
      <c r="H235" s="23">
        <v>25.5</v>
      </c>
      <c r="I235" s="279">
        <f t="shared" si="16"/>
        <v>0.86821705426356588</v>
      </c>
      <c r="J235" s="316"/>
      <c r="K235" s="325"/>
      <c r="L235" s="325"/>
      <c r="M235" s="349"/>
      <c r="N235" s="25"/>
      <c r="O235" s="25"/>
      <c r="P235" s="25"/>
      <c r="Q235" s="25"/>
      <c r="R235" s="299"/>
      <c r="S235" s="302"/>
    </row>
    <row r="236" spans="1:19" ht="100.5" customHeight="1" x14ac:dyDescent="0.25">
      <c r="A236" s="306" t="s">
        <v>474</v>
      </c>
      <c r="B236" s="308" t="s">
        <v>475</v>
      </c>
      <c r="C236" s="17"/>
      <c r="D236" s="18">
        <f>SUM(D237:D239)</f>
        <v>138.19999999999999</v>
      </c>
      <c r="E236" s="18">
        <f>SUM(E237:E239)</f>
        <v>138.19999999999999</v>
      </c>
      <c r="F236" s="18">
        <f>SUM(F237:F239)+0.1</f>
        <v>92.1</v>
      </c>
      <c r="G236" s="18">
        <f>SUM(G237:G239)</f>
        <v>46.2</v>
      </c>
      <c r="H236" s="18">
        <f>SUM(H237:H239)</f>
        <v>46.2</v>
      </c>
      <c r="I236" s="261">
        <f t="shared" si="16"/>
        <v>0.66642547033285093</v>
      </c>
      <c r="J236" s="314" t="s">
        <v>476</v>
      </c>
      <c r="K236" s="323" t="s">
        <v>22</v>
      </c>
      <c r="L236" s="323">
        <v>1</v>
      </c>
      <c r="M236" s="380">
        <v>0</v>
      </c>
      <c r="N236" s="20"/>
      <c r="O236" s="20"/>
      <c r="P236" s="20"/>
      <c r="Q236" s="20"/>
      <c r="R236" s="308" t="s">
        <v>1710</v>
      </c>
      <c r="S236" s="364" t="s">
        <v>1802</v>
      </c>
    </row>
    <row r="237" spans="1:19" x14ac:dyDescent="0.25">
      <c r="A237" s="406"/>
      <c r="B237" s="310"/>
      <c r="C237" s="22" t="s">
        <v>30</v>
      </c>
      <c r="D237" s="23">
        <v>10.5</v>
      </c>
      <c r="E237" s="23">
        <v>10.5</v>
      </c>
      <c r="F237" s="23">
        <v>10.5</v>
      </c>
      <c r="G237" s="23"/>
      <c r="H237" s="54"/>
      <c r="I237" s="262">
        <f t="shared" si="16"/>
        <v>1</v>
      </c>
      <c r="J237" s="315"/>
      <c r="K237" s="324"/>
      <c r="L237" s="324"/>
      <c r="M237" s="381"/>
      <c r="N237" s="25"/>
      <c r="O237" s="25"/>
      <c r="P237" s="25"/>
      <c r="Q237" s="25"/>
      <c r="R237" s="310"/>
      <c r="S237" s="365"/>
    </row>
    <row r="238" spans="1:19" x14ac:dyDescent="0.25">
      <c r="A238" s="406"/>
      <c r="B238" s="310"/>
      <c r="C238" s="22" t="s">
        <v>32</v>
      </c>
      <c r="D238" s="23">
        <v>3</v>
      </c>
      <c r="E238" s="23">
        <v>3</v>
      </c>
      <c r="F238" s="23"/>
      <c r="G238" s="23">
        <v>3</v>
      </c>
      <c r="H238" s="54">
        <v>3</v>
      </c>
      <c r="I238" s="262">
        <f t="shared" si="16"/>
        <v>0</v>
      </c>
      <c r="J238" s="315"/>
      <c r="K238" s="324"/>
      <c r="L238" s="324"/>
      <c r="M238" s="381"/>
      <c r="N238" s="25"/>
      <c r="O238" s="25"/>
      <c r="P238" s="25"/>
      <c r="Q238" s="25"/>
      <c r="R238" s="310"/>
      <c r="S238" s="365"/>
    </row>
    <row r="239" spans="1:19" ht="19.899999999999999" customHeight="1" thickBot="1" x14ac:dyDescent="0.3">
      <c r="A239" s="307"/>
      <c r="B239" s="309"/>
      <c r="C239" s="22" t="s">
        <v>55</v>
      </c>
      <c r="D239" s="23">
        <v>124.7</v>
      </c>
      <c r="E239" s="23">
        <v>124.7</v>
      </c>
      <c r="F239" s="23">
        <v>81.5</v>
      </c>
      <c r="G239" s="23">
        <v>43.2</v>
      </c>
      <c r="H239" s="23">
        <v>43.2</v>
      </c>
      <c r="I239" s="279">
        <f t="shared" si="16"/>
        <v>0.65356856455493184</v>
      </c>
      <c r="J239" s="316"/>
      <c r="K239" s="325"/>
      <c r="L239" s="325"/>
      <c r="M239" s="382"/>
      <c r="N239" s="25"/>
      <c r="O239" s="25"/>
      <c r="P239" s="25"/>
      <c r="Q239" s="25"/>
      <c r="R239" s="309"/>
      <c r="S239" s="366"/>
    </row>
    <row r="240" spans="1:19" ht="23.45" customHeight="1" thickBot="1" x14ac:dyDescent="0.3">
      <c r="A240" s="13" t="s">
        <v>477</v>
      </c>
      <c r="B240" s="41" t="s">
        <v>478</v>
      </c>
      <c r="C240" s="14"/>
      <c r="D240" s="15">
        <f>D241+D244+D248+D252+D253+D256+D258+D261+D264</f>
        <v>3779.3</v>
      </c>
      <c r="E240" s="15">
        <f>E241+E244+E248+E252+E253+E256+E258+E261+E264</f>
        <v>3779.3</v>
      </c>
      <c r="F240" s="15">
        <f>F241+F244+F248+F252+F253+F256+F258+F261+F264-0.1</f>
        <v>1748.4</v>
      </c>
      <c r="G240" s="15">
        <f>G241+G244+G248+G252+G253+G256+G258+G261+G264</f>
        <v>2030.8</v>
      </c>
      <c r="H240" s="15">
        <f>H241+H244+H248+H252+H253+H256+H258+H261+H264</f>
        <v>2030.8</v>
      </c>
      <c r="I240" s="260">
        <f>SUM(F240/E240)</f>
        <v>0.46262535390151616</v>
      </c>
      <c r="J240" s="329"/>
      <c r="K240" s="330"/>
      <c r="L240" s="330"/>
      <c r="M240" s="330"/>
      <c r="N240" s="330"/>
      <c r="O240" s="330"/>
      <c r="P240" s="330"/>
      <c r="Q240" s="330"/>
      <c r="R240" s="330"/>
      <c r="S240" s="331"/>
    </row>
    <row r="241" spans="1:19" ht="78.75" customHeight="1" x14ac:dyDescent="0.25">
      <c r="A241" s="306" t="s">
        <v>479</v>
      </c>
      <c r="B241" s="308" t="s">
        <v>480</v>
      </c>
      <c r="C241" s="17"/>
      <c r="D241" s="18">
        <f>SUM(D242:D243)</f>
        <v>781.7</v>
      </c>
      <c r="E241" s="18">
        <f>SUM(E242:E243)</f>
        <v>781.7</v>
      </c>
      <c r="F241" s="18">
        <f>SUM(F242:F243)</f>
        <v>89.4</v>
      </c>
      <c r="G241" s="18">
        <f>SUM(G242:G243)</f>
        <v>692.3</v>
      </c>
      <c r="H241" s="18">
        <f>SUM(H242:H243)</f>
        <v>692.3</v>
      </c>
      <c r="I241" s="261">
        <f t="shared" ref="I241:I267" si="17">SUM(F241/E241)</f>
        <v>0.11436612511193553</v>
      </c>
      <c r="J241" s="314" t="s">
        <v>277</v>
      </c>
      <c r="K241" s="323" t="s">
        <v>22</v>
      </c>
      <c r="L241" s="323">
        <v>1</v>
      </c>
      <c r="M241" s="470">
        <v>0</v>
      </c>
      <c r="N241" s="20"/>
      <c r="O241" s="20"/>
      <c r="P241" s="20"/>
      <c r="Q241" s="20"/>
      <c r="R241" s="320"/>
      <c r="S241" s="326" t="s">
        <v>1803</v>
      </c>
    </row>
    <row r="242" spans="1:19" x14ac:dyDescent="0.25">
      <c r="A242" s="406"/>
      <c r="B242" s="310"/>
      <c r="C242" s="22" t="s">
        <v>30</v>
      </c>
      <c r="D242" s="23">
        <v>555.70000000000005</v>
      </c>
      <c r="E242" s="23">
        <v>555.70000000000005</v>
      </c>
      <c r="F242" s="23">
        <v>89.4</v>
      </c>
      <c r="G242" s="23">
        <v>466.3</v>
      </c>
      <c r="H242" s="54">
        <v>466.3</v>
      </c>
      <c r="I242" s="262">
        <f t="shared" si="17"/>
        <v>0.16087817167536439</v>
      </c>
      <c r="J242" s="315"/>
      <c r="K242" s="324"/>
      <c r="L242" s="324"/>
      <c r="M242" s="471"/>
      <c r="N242" s="25"/>
      <c r="O242" s="25"/>
      <c r="P242" s="25"/>
      <c r="Q242" s="25"/>
      <c r="R242" s="321"/>
      <c r="S242" s="332"/>
    </row>
    <row r="243" spans="1:19" ht="15.75" thickBot="1" x14ac:dyDescent="0.3">
      <c r="A243" s="307"/>
      <c r="B243" s="309"/>
      <c r="C243" s="22" t="s">
        <v>481</v>
      </c>
      <c r="D243" s="23">
        <v>226</v>
      </c>
      <c r="E243" s="23">
        <v>226</v>
      </c>
      <c r="F243" s="23"/>
      <c r="G243" s="23">
        <v>226</v>
      </c>
      <c r="H243" s="23">
        <v>226</v>
      </c>
      <c r="I243" s="279">
        <f t="shared" si="17"/>
        <v>0</v>
      </c>
      <c r="J243" s="316"/>
      <c r="K243" s="325"/>
      <c r="L243" s="325"/>
      <c r="M243" s="472"/>
      <c r="N243" s="25"/>
      <c r="O243" s="25"/>
      <c r="P243" s="25"/>
      <c r="Q243" s="25"/>
      <c r="R243" s="322"/>
      <c r="S243" s="327"/>
    </row>
    <row r="244" spans="1:19" ht="21" customHeight="1" x14ac:dyDescent="0.25">
      <c r="A244" s="306" t="s">
        <v>482</v>
      </c>
      <c r="B244" s="308" t="s">
        <v>483</v>
      </c>
      <c r="C244" s="17"/>
      <c r="D244" s="18">
        <f>SUM(D245:D247)</f>
        <v>52.5</v>
      </c>
      <c r="E244" s="18">
        <f>SUM(E245:E247)</f>
        <v>52.5</v>
      </c>
      <c r="F244" s="18">
        <f>SUM(F245:F247)+0.1</f>
        <v>27.6</v>
      </c>
      <c r="G244" s="18">
        <f>SUM(G245:G247)-0.1</f>
        <v>24.900000000000002</v>
      </c>
      <c r="H244" s="18">
        <f>SUM(H245:H247)-0.1</f>
        <v>24.900000000000002</v>
      </c>
      <c r="I244" s="261">
        <f t="shared" si="17"/>
        <v>0.52571428571428569</v>
      </c>
      <c r="J244" s="314" t="s">
        <v>277</v>
      </c>
      <c r="K244" s="323" t="s">
        <v>22</v>
      </c>
      <c r="L244" s="323">
        <v>1</v>
      </c>
      <c r="M244" s="347">
        <v>1</v>
      </c>
      <c r="N244" s="20"/>
      <c r="O244" s="20"/>
      <c r="P244" s="20"/>
      <c r="Q244" s="20"/>
      <c r="R244" s="320"/>
      <c r="S244" s="317"/>
    </row>
    <row r="245" spans="1:19" x14ac:dyDescent="0.25">
      <c r="A245" s="406"/>
      <c r="B245" s="310"/>
      <c r="C245" s="22" t="s">
        <v>32</v>
      </c>
      <c r="D245" s="23">
        <v>24.8</v>
      </c>
      <c r="E245" s="23">
        <v>24.8</v>
      </c>
      <c r="F245" s="23"/>
      <c r="G245" s="23">
        <v>24.8</v>
      </c>
      <c r="H245" s="54">
        <v>24.8</v>
      </c>
      <c r="I245" s="262">
        <f t="shared" si="17"/>
        <v>0</v>
      </c>
      <c r="J245" s="315"/>
      <c r="K245" s="324"/>
      <c r="L245" s="324"/>
      <c r="M245" s="348"/>
      <c r="N245" s="25"/>
      <c r="O245" s="25"/>
      <c r="P245" s="25"/>
      <c r="Q245" s="25"/>
      <c r="R245" s="321"/>
      <c r="S245" s="318"/>
    </row>
    <row r="246" spans="1:19" x14ac:dyDescent="0.25">
      <c r="A246" s="406"/>
      <c r="B246" s="310"/>
      <c r="C246" s="22" t="s">
        <v>55</v>
      </c>
      <c r="D246" s="23">
        <v>2.2999999999999998</v>
      </c>
      <c r="E246" s="23">
        <v>2.2999999999999998</v>
      </c>
      <c r="F246" s="23">
        <v>2.2000000000000002</v>
      </c>
      <c r="G246" s="23">
        <v>0.1</v>
      </c>
      <c r="H246" s="54">
        <v>0.1</v>
      </c>
      <c r="I246" s="262">
        <f t="shared" si="17"/>
        <v>0.95652173913043492</v>
      </c>
      <c r="J246" s="315"/>
      <c r="K246" s="324"/>
      <c r="L246" s="324"/>
      <c r="M246" s="348"/>
      <c r="N246" s="25"/>
      <c r="O246" s="25"/>
      <c r="P246" s="25"/>
      <c r="Q246" s="25"/>
      <c r="R246" s="321"/>
      <c r="S246" s="318"/>
    </row>
    <row r="247" spans="1:19" ht="15.75" thickBot="1" x14ac:dyDescent="0.3">
      <c r="A247" s="307"/>
      <c r="B247" s="309"/>
      <c r="C247" s="22" t="s">
        <v>481</v>
      </c>
      <c r="D247" s="23">
        <v>25.4</v>
      </c>
      <c r="E247" s="23">
        <v>25.4</v>
      </c>
      <c r="F247" s="23">
        <v>25.3</v>
      </c>
      <c r="G247" s="23">
        <v>0.1</v>
      </c>
      <c r="H247" s="23">
        <v>0.1</v>
      </c>
      <c r="I247" s="279">
        <f t="shared" si="17"/>
        <v>0.99606299212598437</v>
      </c>
      <c r="J247" s="316"/>
      <c r="K247" s="325"/>
      <c r="L247" s="325"/>
      <c r="M247" s="349"/>
      <c r="N247" s="25"/>
      <c r="O247" s="25"/>
      <c r="P247" s="25"/>
      <c r="Q247" s="25"/>
      <c r="R247" s="322"/>
      <c r="S247" s="319"/>
    </row>
    <row r="248" spans="1:19" ht="38.25" customHeight="1" x14ac:dyDescent="0.25">
      <c r="A248" s="306" t="s">
        <v>484</v>
      </c>
      <c r="B248" s="308" t="s">
        <v>485</v>
      </c>
      <c r="C248" s="17"/>
      <c r="D248" s="18">
        <f>SUM(D249:D251)</f>
        <v>166.4</v>
      </c>
      <c r="E248" s="18">
        <f>SUM(E249:E251)</f>
        <v>166.4</v>
      </c>
      <c r="F248" s="18"/>
      <c r="G248" s="18">
        <f>SUM(G249:G251)</f>
        <v>166.4</v>
      </c>
      <c r="H248" s="18">
        <f>SUM(H249:H251)</f>
        <v>166.4</v>
      </c>
      <c r="I248" s="261">
        <f t="shared" si="17"/>
        <v>0</v>
      </c>
      <c r="J248" s="314" t="s">
        <v>277</v>
      </c>
      <c r="K248" s="323" t="s">
        <v>22</v>
      </c>
      <c r="L248" s="323">
        <v>1</v>
      </c>
      <c r="M248" s="380">
        <v>0</v>
      </c>
      <c r="N248" s="20"/>
      <c r="O248" s="20"/>
      <c r="P248" s="20"/>
      <c r="Q248" s="20"/>
      <c r="R248" s="297"/>
      <c r="S248" s="326" t="s">
        <v>1711</v>
      </c>
    </row>
    <row r="249" spans="1:19" x14ac:dyDescent="0.25">
      <c r="A249" s="406"/>
      <c r="B249" s="310"/>
      <c r="C249" s="22" t="s">
        <v>30</v>
      </c>
      <c r="D249" s="23">
        <v>8.6</v>
      </c>
      <c r="E249" s="23">
        <v>8.6</v>
      </c>
      <c r="F249" s="23"/>
      <c r="G249" s="23">
        <v>8.6</v>
      </c>
      <c r="H249" s="54">
        <v>8.6</v>
      </c>
      <c r="I249" s="262">
        <f t="shared" si="17"/>
        <v>0</v>
      </c>
      <c r="J249" s="315"/>
      <c r="K249" s="324"/>
      <c r="L249" s="324"/>
      <c r="M249" s="381"/>
      <c r="N249" s="25"/>
      <c r="O249" s="25"/>
      <c r="P249" s="25"/>
      <c r="Q249" s="25"/>
      <c r="R249" s="298"/>
      <c r="S249" s="332"/>
    </row>
    <row r="250" spans="1:19" x14ac:dyDescent="0.25">
      <c r="A250" s="406"/>
      <c r="B250" s="310"/>
      <c r="C250" s="22" t="s">
        <v>55</v>
      </c>
      <c r="D250" s="23">
        <v>12.8</v>
      </c>
      <c r="E250" s="23">
        <v>12.8</v>
      </c>
      <c r="F250" s="23"/>
      <c r="G250" s="23">
        <v>12.8</v>
      </c>
      <c r="H250" s="54">
        <v>12.8</v>
      </c>
      <c r="I250" s="262">
        <f t="shared" si="17"/>
        <v>0</v>
      </c>
      <c r="J250" s="315"/>
      <c r="K250" s="324"/>
      <c r="L250" s="324"/>
      <c r="M250" s="381"/>
      <c r="N250" s="25"/>
      <c r="O250" s="25"/>
      <c r="P250" s="25"/>
      <c r="Q250" s="25"/>
      <c r="R250" s="298"/>
      <c r="S250" s="332"/>
    </row>
    <row r="251" spans="1:19" ht="15.75" thickBot="1" x14ac:dyDescent="0.3">
      <c r="A251" s="307"/>
      <c r="B251" s="309"/>
      <c r="C251" s="22" t="s">
        <v>481</v>
      </c>
      <c r="D251" s="23">
        <v>145</v>
      </c>
      <c r="E251" s="23">
        <v>145</v>
      </c>
      <c r="F251" s="23"/>
      <c r="G251" s="23">
        <v>145</v>
      </c>
      <c r="H251" s="23">
        <v>145</v>
      </c>
      <c r="I251" s="279">
        <f t="shared" si="17"/>
        <v>0</v>
      </c>
      <c r="J251" s="316"/>
      <c r="K251" s="325"/>
      <c r="L251" s="325"/>
      <c r="M251" s="382"/>
      <c r="N251" s="25"/>
      <c r="O251" s="25"/>
      <c r="P251" s="25"/>
      <c r="Q251" s="25"/>
      <c r="R251" s="299"/>
      <c r="S251" s="327"/>
    </row>
    <row r="252" spans="1:19" ht="77.25" thickBot="1" x14ac:dyDescent="0.3">
      <c r="A252" s="16" t="s">
        <v>486</v>
      </c>
      <c r="B252" s="42" t="s">
        <v>487</v>
      </c>
      <c r="C252" s="17" t="s">
        <v>30</v>
      </c>
      <c r="D252" s="26">
        <v>45.5</v>
      </c>
      <c r="E252" s="26">
        <v>45.5</v>
      </c>
      <c r="F252" s="26"/>
      <c r="G252" s="26">
        <v>45.5</v>
      </c>
      <c r="H252" s="26">
        <v>45.5</v>
      </c>
      <c r="I252" s="264">
        <f t="shared" si="17"/>
        <v>0</v>
      </c>
      <c r="J252" s="48" t="s">
        <v>277</v>
      </c>
      <c r="K252" s="19" t="s">
        <v>22</v>
      </c>
      <c r="L252" s="19">
        <v>1</v>
      </c>
      <c r="M252" s="106">
        <v>0</v>
      </c>
      <c r="N252" s="20"/>
      <c r="O252" s="20"/>
      <c r="P252" s="20"/>
      <c r="Q252" s="20"/>
      <c r="R252" s="48"/>
      <c r="S252" s="52" t="s">
        <v>1711</v>
      </c>
    </row>
    <row r="253" spans="1:19" ht="27.75" customHeight="1" x14ac:dyDescent="0.25">
      <c r="A253" s="306" t="s">
        <v>488</v>
      </c>
      <c r="B253" s="308" t="s">
        <v>489</v>
      </c>
      <c r="C253" s="17"/>
      <c r="D253" s="18">
        <f>SUM(D254:D255)</f>
        <v>200.5</v>
      </c>
      <c r="E253" s="18">
        <f>SUM(E254:E255)</f>
        <v>200.5</v>
      </c>
      <c r="F253" s="18">
        <f>SUM(F254:F255)</f>
        <v>200.39999999999998</v>
      </c>
      <c r="G253" s="18">
        <f>SUM(G254:G255)</f>
        <v>0.1</v>
      </c>
      <c r="H253" s="18">
        <f>SUM(H254:H255)</f>
        <v>0.1</v>
      </c>
      <c r="I253" s="261">
        <f t="shared" si="17"/>
        <v>0.99950124688279285</v>
      </c>
      <c r="J253" s="314" t="s">
        <v>277</v>
      </c>
      <c r="K253" s="323" t="s">
        <v>22</v>
      </c>
      <c r="L253" s="323">
        <v>1</v>
      </c>
      <c r="M253" s="347">
        <v>1</v>
      </c>
      <c r="N253" s="20"/>
      <c r="O253" s="20"/>
      <c r="P253" s="20"/>
      <c r="Q253" s="20"/>
      <c r="R253" s="297"/>
      <c r="S253" s="303"/>
    </row>
    <row r="254" spans="1:19" x14ac:dyDescent="0.25">
      <c r="A254" s="406"/>
      <c r="B254" s="310"/>
      <c r="C254" s="22" t="s">
        <v>55</v>
      </c>
      <c r="D254" s="23">
        <v>16.3</v>
      </c>
      <c r="E254" s="23">
        <v>16.3</v>
      </c>
      <c r="F254" s="23">
        <v>16.2</v>
      </c>
      <c r="G254" s="23">
        <v>0.1</v>
      </c>
      <c r="H254" s="54">
        <v>0.1</v>
      </c>
      <c r="I254" s="262">
        <f t="shared" si="17"/>
        <v>0.99386503067484655</v>
      </c>
      <c r="J254" s="315"/>
      <c r="K254" s="324"/>
      <c r="L254" s="324"/>
      <c r="M254" s="348"/>
      <c r="N254" s="25"/>
      <c r="O254" s="25"/>
      <c r="P254" s="25"/>
      <c r="Q254" s="25"/>
      <c r="R254" s="298"/>
      <c r="S254" s="304"/>
    </row>
    <row r="255" spans="1:19" ht="15.75" thickBot="1" x14ac:dyDescent="0.3">
      <c r="A255" s="307"/>
      <c r="B255" s="309"/>
      <c r="C255" s="22" t="s">
        <v>481</v>
      </c>
      <c r="D255" s="23">
        <v>184.2</v>
      </c>
      <c r="E255" s="23">
        <v>184.2</v>
      </c>
      <c r="F255" s="23">
        <v>184.2</v>
      </c>
      <c r="G255" s="23"/>
      <c r="H255" s="23"/>
      <c r="I255" s="279">
        <f t="shared" si="17"/>
        <v>1</v>
      </c>
      <c r="J255" s="316"/>
      <c r="K255" s="325"/>
      <c r="L255" s="325"/>
      <c r="M255" s="349"/>
      <c r="N255" s="25"/>
      <c r="O255" s="25"/>
      <c r="P255" s="25"/>
      <c r="Q255" s="25"/>
      <c r="R255" s="299"/>
      <c r="S255" s="305"/>
    </row>
    <row r="256" spans="1:19" ht="40.5" customHeight="1" x14ac:dyDescent="0.25">
      <c r="A256" s="306" t="s">
        <v>490</v>
      </c>
      <c r="B256" s="308" t="s">
        <v>491</v>
      </c>
      <c r="C256" s="17"/>
      <c r="D256" s="18">
        <f>SUM(D257:D257)+0.1</f>
        <v>2.7</v>
      </c>
      <c r="E256" s="18">
        <f>SUM(E257:E257)+0.1</f>
        <v>2.7</v>
      </c>
      <c r="F256" s="18">
        <f>SUM(F257:F257)+0.1</f>
        <v>2.7</v>
      </c>
      <c r="G256" s="18"/>
      <c r="H256" s="18"/>
      <c r="I256" s="264">
        <f t="shared" si="17"/>
        <v>1</v>
      </c>
      <c r="J256" s="308" t="s">
        <v>277</v>
      </c>
      <c r="K256" s="323" t="s">
        <v>22</v>
      </c>
      <c r="L256" s="323">
        <v>1</v>
      </c>
      <c r="M256" s="347">
        <v>1</v>
      </c>
      <c r="N256" s="20"/>
      <c r="O256" s="20"/>
      <c r="P256" s="20"/>
      <c r="Q256" s="20"/>
      <c r="R256" s="320"/>
      <c r="S256" s="303"/>
    </row>
    <row r="257" spans="1:19" ht="15.75" thickBot="1" x14ac:dyDescent="0.3">
      <c r="A257" s="307"/>
      <c r="B257" s="309"/>
      <c r="C257" s="22" t="s">
        <v>30</v>
      </c>
      <c r="D257" s="23">
        <v>2.6</v>
      </c>
      <c r="E257" s="23">
        <v>2.6</v>
      </c>
      <c r="F257" s="23">
        <v>2.6</v>
      </c>
      <c r="G257" s="23"/>
      <c r="H257" s="23"/>
      <c r="I257" s="279">
        <f t="shared" si="17"/>
        <v>1</v>
      </c>
      <c r="J257" s="309"/>
      <c r="K257" s="325"/>
      <c r="L257" s="325"/>
      <c r="M257" s="349"/>
      <c r="N257" s="25"/>
      <c r="O257" s="25"/>
      <c r="P257" s="25"/>
      <c r="Q257" s="25"/>
      <c r="R257" s="322"/>
      <c r="S257" s="305"/>
    </row>
    <row r="258" spans="1:19" ht="66.75" customHeight="1" x14ac:dyDescent="0.25">
      <c r="A258" s="306" t="s">
        <v>492</v>
      </c>
      <c r="B258" s="308" t="s">
        <v>493</v>
      </c>
      <c r="C258" s="17" t="s">
        <v>32</v>
      </c>
      <c r="D258" s="18">
        <f>SUM(D259:D260)+300</f>
        <v>300</v>
      </c>
      <c r="E258" s="18">
        <f>SUM(E259:E260)+300</f>
        <v>300</v>
      </c>
      <c r="F258" s="18">
        <f>SUM(F259:F260)+283.7</f>
        <v>283.7</v>
      </c>
      <c r="G258" s="18">
        <f>SUM(G259:G260)+16.3</f>
        <v>16.3</v>
      </c>
      <c r="H258" s="18">
        <f>SUM(H259:H260)+16.3</f>
        <v>16.3</v>
      </c>
      <c r="I258" s="261">
        <f t="shared" si="17"/>
        <v>0.94566666666666666</v>
      </c>
      <c r="J258" s="48" t="s">
        <v>494</v>
      </c>
      <c r="K258" s="19" t="s">
        <v>57</v>
      </c>
      <c r="L258" s="19">
        <v>110</v>
      </c>
      <c r="M258" s="108">
        <v>129</v>
      </c>
      <c r="N258" s="20"/>
      <c r="O258" s="20"/>
      <c r="P258" s="20"/>
      <c r="Q258" s="20"/>
      <c r="R258" s="311"/>
      <c r="S258" s="294"/>
    </row>
    <row r="259" spans="1:19" ht="38.25" customHeight="1" x14ac:dyDescent="0.25">
      <c r="A259" s="406"/>
      <c r="B259" s="310"/>
      <c r="C259" s="22"/>
      <c r="D259" s="23"/>
      <c r="E259" s="23"/>
      <c r="F259" s="23"/>
      <c r="G259" s="23"/>
      <c r="H259" s="54"/>
      <c r="I259" s="262"/>
      <c r="J259" s="55" t="s">
        <v>495</v>
      </c>
      <c r="K259" s="24" t="s">
        <v>57</v>
      </c>
      <c r="L259" s="24">
        <v>6</v>
      </c>
      <c r="M259" s="110">
        <v>13</v>
      </c>
      <c r="N259" s="25"/>
      <c r="O259" s="25"/>
      <c r="P259" s="25"/>
      <c r="Q259" s="25"/>
      <c r="R259" s="312"/>
      <c r="S259" s="295"/>
    </row>
    <row r="260" spans="1:19" ht="51.75" thickBot="1" x14ac:dyDescent="0.3">
      <c r="A260" s="307"/>
      <c r="B260" s="309"/>
      <c r="C260" s="22"/>
      <c r="D260" s="23"/>
      <c r="E260" s="23"/>
      <c r="F260" s="23"/>
      <c r="G260" s="23"/>
      <c r="H260" s="23"/>
      <c r="I260" s="279"/>
      <c r="J260" s="49" t="s">
        <v>496</v>
      </c>
      <c r="K260" s="24" t="s">
        <v>57</v>
      </c>
      <c r="L260" s="24">
        <v>4</v>
      </c>
      <c r="M260" s="104">
        <v>4</v>
      </c>
      <c r="N260" s="25"/>
      <c r="O260" s="25"/>
      <c r="P260" s="25"/>
      <c r="Q260" s="25"/>
      <c r="R260" s="313"/>
      <c r="S260" s="296"/>
    </row>
    <row r="261" spans="1:19" ht="35.25" customHeight="1" x14ac:dyDescent="0.25">
      <c r="A261" s="306" t="s">
        <v>497</v>
      </c>
      <c r="B261" s="308" t="s">
        <v>498</v>
      </c>
      <c r="C261" s="17"/>
      <c r="D261" s="18">
        <f>SUM(D262:D263)</f>
        <v>280</v>
      </c>
      <c r="E261" s="18">
        <f>SUM(E262:E263)</f>
        <v>280</v>
      </c>
      <c r="F261" s="18">
        <f>SUM(F262:F263)</f>
        <v>176.4</v>
      </c>
      <c r="G261" s="18">
        <f>SUM(G262:G263)</f>
        <v>103.6</v>
      </c>
      <c r="H261" s="18">
        <f>SUM(H262:H263)</f>
        <v>103.6</v>
      </c>
      <c r="I261" s="261">
        <f t="shared" si="17"/>
        <v>0.63</v>
      </c>
      <c r="J261" s="314" t="s">
        <v>499</v>
      </c>
      <c r="K261" s="323" t="s">
        <v>29</v>
      </c>
      <c r="L261" s="323">
        <v>100</v>
      </c>
      <c r="M261" s="347">
        <v>100</v>
      </c>
      <c r="N261" s="20"/>
      <c r="O261" s="20"/>
      <c r="P261" s="20"/>
      <c r="Q261" s="20"/>
      <c r="R261" s="320"/>
      <c r="S261" s="317"/>
    </row>
    <row r="262" spans="1:19" x14ac:dyDescent="0.25">
      <c r="A262" s="406"/>
      <c r="B262" s="310"/>
      <c r="C262" s="22" t="s">
        <v>30</v>
      </c>
      <c r="D262" s="23">
        <v>80</v>
      </c>
      <c r="E262" s="23">
        <v>80</v>
      </c>
      <c r="F262" s="23">
        <v>80</v>
      </c>
      <c r="G262" s="23"/>
      <c r="H262" s="54"/>
      <c r="I262" s="262">
        <f t="shared" si="17"/>
        <v>1</v>
      </c>
      <c r="J262" s="315"/>
      <c r="K262" s="324"/>
      <c r="L262" s="324"/>
      <c r="M262" s="348"/>
      <c r="N262" s="25"/>
      <c r="O262" s="25"/>
      <c r="P262" s="25"/>
      <c r="Q262" s="25"/>
      <c r="R262" s="321"/>
      <c r="S262" s="318"/>
    </row>
    <row r="263" spans="1:19" ht="15.75" thickBot="1" x14ac:dyDescent="0.3">
      <c r="A263" s="307"/>
      <c r="B263" s="309"/>
      <c r="C263" s="22" t="s">
        <v>32</v>
      </c>
      <c r="D263" s="23">
        <v>200</v>
      </c>
      <c r="E263" s="23">
        <v>200</v>
      </c>
      <c r="F263" s="23">
        <v>96.4</v>
      </c>
      <c r="G263" s="23">
        <v>103.6</v>
      </c>
      <c r="H263" s="23">
        <v>103.6</v>
      </c>
      <c r="I263" s="279">
        <f t="shared" si="17"/>
        <v>0.48200000000000004</v>
      </c>
      <c r="J263" s="316"/>
      <c r="K263" s="325"/>
      <c r="L263" s="325"/>
      <c r="M263" s="349"/>
      <c r="N263" s="25"/>
      <c r="O263" s="25"/>
      <c r="P263" s="25"/>
      <c r="Q263" s="25"/>
      <c r="R263" s="322"/>
      <c r="S263" s="319"/>
    </row>
    <row r="264" spans="1:19" ht="25.5" customHeight="1" x14ac:dyDescent="0.25">
      <c r="A264" s="306" t="s">
        <v>500</v>
      </c>
      <c r="B264" s="308" t="s">
        <v>501</v>
      </c>
      <c r="C264" s="17"/>
      <c r="D264" s="18">
        <f>SUM(D265:D267)</f>
        <v>1950</v>
      </c>
      <c r="E264" s="18">
        <f>SUM(E265:E267)</f>
        <v>1950</v>
      </c>
      <c r="F264" s="18">
        <f>SUM(F265:F267)</f>
        <v>968.3</v>
      </c>
      <c r="G264" s="18">
        <f>SUM(G265:G267)</f>
        <v>981.7</v>
      </c>
      <c r="H264" s="18">
        <f>SUM(H265:H267)</f>
        <v>981.7</v>
      </c>
      <c r="I264" s="261">
        <f t="shared" si="17"/>
        <v>0.49656410256410255</v>
      </c>
      <c r="J264" s="314" t="s">
        <v>502</v>
      </c>
      <c r="K264" s="323" t="s">
        <v>29</v>
      </c>
      <c r="L264" s="323">
        <v>40</v>
      </c>
      <c r="M264" s="350">
        <v>30.06</v>
      </c>
      <c r="N264" s="20"/>
      <c r="O264" s="20"/>
      <c r="P264" s="20"/>
      <c r="Q264" s="20"/>
      <c r="R264" s="308" t="s">
        <v>503</v>
      </c>
      <c r="S264" s="326" t="s">
        <v>1804</v>
      </c>
    </row>
    <row r="265" spans="1:19" x14ac:dyDescent="0.25">
      <c r="A265" s="406"/>
      <c r="B265" s="310"/>
      <c r="C265" s="22" t="s">
        <v>32</v>
      </c>
      <c r="D265" s="23">
        <v>100</v>
      </c>
      <c r="E265" s="23">
        <v>100</v>
      </c>
      <c r="F265" s="23">
        <v>2</v>
      </c>
      <c r="G265" s="23">
        <v>98</v>
      </c>
      <c r="H265" s="54">
        <v>98</v>
      </c>
      <c r="I265" s="262">
        <f t="shared" si="17"/>
        <v>0.02</v>
      </c>
      <c r="J265" s="315"/>
      <c r="K265" s="324"/>
      <c r="L265" s="324"/>
      <c r="M265" s="351"/>
      <c r="N265" s="25"/>
      <c r="O265" s="25"/>
      <c r="P265" s="25"/>
      <c r="Q265" s="25"/>
      <c r="R265" s="310"/>
      <c r="S265" s="332"/>
    </row>
    <row r="266" spans="1:19" x14ac:dyDescent="0.25">
      <c r="A266" s="406"/>
      <c r="B266" s="310"/>
      <c r="C266" s="22" t="s">
        <v>481</v>
      </c>
      <c r="D266" s="23">
        <v>550</v>
      </c>
      <c r="E266" s="23">
        <v>550</v>
      </c>
      <c r="F266" s="23">
        <v>100.9</v>
      </c>
      <c r="G266" s="23">
        <v>449.1</v>
      </c>
      <c r="H266" s="54">
        <v>449.1</v>
      </c>
      <c r="I266" s="262">
        <f t="shared" si="17"/>
        <v>0.18345454545454545</v>
      </c>
      <c r="J266" s="315"/>
      <c r="K266" s="324"/>
      <c r="L266" s="324"/>
      <c r="M266" s="351"/>
      <c r="N266" s="25"/>
      <c r="O266" s="25"/>
      <c r="P266" s="25"/>
      <c r="Q266" s="25"/>
      <c r="R266" s="310"/>
      <c r="S266" s="332"/>
    </row>
    <row r="267" spans="1:19" ht="15.75" thickBot="1" x14ac:dyDescent="0.3">
      <c r="A267" s="307"/>
      <c r="B267" s="309"/>
      <c r="C267" s="22" t="s">
        <v>30</v>
      </c>
      <c r="D267" s="23">
        <v>1300</v>
      </c>
      <c r="E267" s="23">
        <v>1300</v>
      </c>
      <c r="F267" s="23">
        <v>865.4</v>
      </c>
      <c r="G267" s="23">
        <v>434.6</v>
      </c>
      <c r="H267" s="23">
        <v>434.6</v>
      </c>
      <c r="I267" s="279">
        <f t="shared" si="17"/>
        <v>0.66569230769230769</v>
      </c>
      <c r="J267" s="316"/>
      <c r="K267" s="325"/>
      <c r="L267" s="325"/>
      <c r="M267" s="352"/>
      <c r="N267" s="25"/>
      <c r="O267" s="25"/>
      <c r="P267" s="25"/>
      <c r="Q267" s="25"/>
      <c r="R267" s="309"/>
      <c r="S267" s="327"/>
    </row>
    <row r="268" spans="1:19" ht="39" thickBot="1" x14ac:dyDescent="0.3">
      <c r="A268" s="8" t="s">
        <v>504</v>
      </c>
      <c r="B268" s="40" t="s">
        <v>505</v>
      </c>
      <c r="C268" s="9"/>
      <c r="D268" s="10">
        <f>D269+D297</f>
        <v>27260.599999999995</v>
      </c>
      <c r="E268" s="10">
        <f>E269+E297</f>
        <v>27260.599999999995</v>
      </c>
      <c r="F268" s="10">
        <f>F269+F297</f>
        <v>22605.399999999998</v>
      </c>
      <c r="G268" s="10">
        <f>G269+G297</f>
        <v>4655.2</v>
      </c>
      <c r="H268" s="10">
        <f>H269+H297</f>
        <v>4655.2</v>
      </c>
      <c r="I268" s="259">
        <f>SUM(F268/E268)</f>
        <v>0.82923339911814131</v>
      </c>
      <c r="J268" s="47" t="s">
        <v>506</v>
      </c>
      <c r="K268" s="11" t="s">
        <v>448</v>
      </c>
      <c r="L268" s="11">
        <v>3</v>
      </c>
      <c r="M268" s="11">
        <v>3</v>
      </c>
      <c r="N268" s="12"/>
      <c r="O268" s="12"/>
      <c r="P268" s="12"/>
      <c r="Q268" s="12"/>
      <c r="R268" s="370"/>
      <c r="S268" s="371"/>
    </row>
    <row r="269" spans="1:19" ht="26.25" thickBot="1" x14ac:dyDescent="0.3">
      <c r="A269" s="13" t="s">
        <v>507</v>
      </c>
      <c r="B269" s="41" t="s">
        <v>508</v>
      </c>
      <c r="C269" s="14"/>
      <c r="D269" s="15">
        <f>D270+D281+D284+D289+D295+D296+0.1</f>
        <v>25042.099999999995</v>
      </c>
      <c r="E269" s="15">
        <f>E270+E281+E284+E289+E295+E296+0.1</f>
        <v>25042.099999999995</v>
      </c>
      <c r="F269" s="15">
        <f>F270+F281+F284+F289+F295+F296+0.1</f>
        <v>20920.499999999996</v>
      </c>
      <c r="G269" s="15">
        <f>G270+G281+G284+G289+G295+G296</f>
        <v>4121.5999999999995</v>
      </c>
      <c r="H269" s="15">
        <f>H270+H281+H284+H289+H295+H296</f>
        <v>4121.5999999999995</v>
      </c>
      <c r="I269" s="260">
        <f>SUM(F269/E269)</f>
        <v>0.8354131642314343</v>
      </c>
      <c r="J269" s="329"/>
      <c r="K269" s="330"/>
      <c r="L269" s="330"/>
      <c r="M269" s="330"/>
      <c r="N269" s="330"/>
      <c r="O269" s="330"/>
      <c r="P269" s="330"/>
      <c r="Q269" s="330"/>
      <c r="R269" s="330"/>
      <c r="S269" s="331"/>
    </row>
    <row r="270" spans="1:19" ht="45.75" customHeight="1" x14ac:dyDescent="0.25">
      <c r="A270" s="306" t="s">
        <v>509</v>
      </c>
      <c r="B270" s="308" t="s">
        <v>510</v>
      </c>
      <c r="C270" s="17"/>
      <c r="D270" s="18">
        <f>D271+D272+D273+D279+D280</f>
        <v>17275.199999999997</v>
      </c>
      <c r="E270" s="18">
        <f>E271+E272+E273+E279+E280</f>
        <v>17275.199999999997</v>
      </c>
      <c r="F270" s="18">
        <f>F271+F272+F273+F279+F280</f>
        <v>15204</v>
      </c>
      <c r="G270" s="18">
        <f>G271+G272+G273+G279+G280</f>
        <v>2071.1999999999998</v>
      </c>
      <c r="H270" s="18">
        <f>H271+H272+H273+H279+H280</f>
        <v>2071.1999999999998</v>
      </c>
      <c r="I270" s="264">
        <f t="shared" ref="I270:I296" si="18">SUM(F270/E270)</f>
        <v>0.88010558488469037</v>
      </c>
      <c r="J270" s="48" t="s">
        <v>511</v>
      </c>
      <c r="K270" s="19" t="s">
        <v>29</v>
      </c>
      <c r="L270" s="19">
        <v>100</v>
      </c>
      <c r="M270" s="111">
        <v>100</v>
      </c>
      <c r="N270" s="20"/>
      <c r="O270" s="20"/>
      <c r="P270" s="20"/>
      <c r="Q270" s="20"/>
      <c r="R270" s="48"/>
      <c r="S270" s="52"/>
    </row>
    <row r="271" spans="1:19" ht="56.25" customHeight="1" thickBot="1" x14ac:dyDescent="0.3">
      <c r="A271" s="307"/>
      <c r="B271" s="309"/>
      <c r="C271" s="22"/>
      <c r="D271" s="23"/>
      <c r="E271" s="23"/>
      <c r="F271" s="23"/>
      <c r="G271" s="23"/>
      <c r="H271" s="23"/>
      <c r="I271" s="279"/>
      <c r="J271" s="49" t="s">
        <v>512</v>
      </c>
      <c r="K271" s="24" t="s">
        <v>29</v>
      </c>
      <c r="L271" s="24">
        <v>100</v>
      </c>
      <c r="M271" s="109">
        <v>88.4</v>
      </c>
      <c r="N271" s="25"/>
      <c r="O271" s="25"/>
      <c r="P271" s="25"/>
      <c r="Q271" s="25"/>
      <c r="R271" s="49"/>
      <c r="S271" s="53" t="s">
        <v>1805</v>
      </c>
    </row>
    <row r="272" spans="1:19" ht="26.25" thickBot="1" x14ac:dyDescent="0.3">
      <c r="A272" s="68" t="s">
        <v>513</v>
      </c>
      <c r="B272" s="48" t="s">
        <v>514</v>
      </c>
      <c r="C272" s="17" t="s">
        <v>32</v>
      </c>
      <c r="D272" s="26">
        <v>100</v>
      </c>
      <c r="E272" s="26">
        <v>100</v>
      </c>
      <c r="F272" s="26">
        <v>94.1</v>
      </c>
      <c r="G272" s="26">
        <v>5.9</v>
      </c>
      <c r="H272" s="26">
        <v>5.9</v>
      </c>
      <c r="I272" s="264">
        <f t="shared" si="18"/>
        <v>0.94099999999999995</v>
      </c>
      <c r="J272" s="48" t="s">
        <v>515</v>
      </c>
      <c r="K272" s="19" t="s">
        <v>22</v>
      </c>
      <c r="L272" s="19">
        <v>700</v>
      </c>
      <c r="M272" s="112">
        <v>303</v>
      </c>
      <c r="N272" s="20"/>
      <c r="O272" s="20"/>
      <c r="P272" s="20"/>
      <c r="Q272" s="20"/>
      <c r="R272" s="48" t="s">
        <v>516</v>
      </c>
      <c r="S272" s="52" t="s">
        <v>1696</v>
      </c>
    </row>
    <row r="273" spans="1:19" ht="76.5" x14ac:dyDescent="0.25">
      <c r="A273" s="306" t="s">
        <v>517</v>
      </c>
      <c r="B273" s="308" t="s">
        <v>518</v>
      </c>
      <c r="C273" s="17"/>
      <c r="D273" s="18">
        <f>SUM(D274:D278)</f>
        <v>15115.199999999999</v>
      </c>
      <c r="E273" s="18">
        <f>SUM(E274:E278)</f>
        <v>15115.199999999999</v>
      </c>
      <c r="F273" s="18">
        <f>SUM(F274:F278)</f>
        <v>14081.6</v>
      </c>
      <c r="G273" s="18">
        <f>SUM(G274:G278)</f>
        <v>1033.5999999999999</v>
      </c>
      <c r="H273" s="18">
        <f>SUM(H274:H278)</f>
        <v>1033.5999999999999</v>
      </c>
      <c r="I273" s="261">
        <f t="shared" si="18"/>
        <v>0.93161850322853823</v>
      </c>
      <c r="J273" s="48" t="s">
        <v>519</v>
      </c>
      <c r="K273" s="19" t="s">
        <v>22</v>
      </c>
      <c r="L273" s="19">
        <v>1</v>
      </c>
      <c r="M273" s="106">
        <v>0</v>
      </c>
      <c r="N273" s="20"/>
      <c r="O273" s="20"/>
      <c r="P273" s="20"/>
      <c r="Q273" s="20"/>
      <c r="R273" s="48"/>
      <c r="S273" s="52" t="s">
        <v>1806</v>
      </c>
    </row>
    <row r="274" spans="1:19" ht="38.25" x14ac:dyDescent="0.25">
      <c r="A274" s="406"/>
      <c r="B274" s="310"/>
      <c r="C274" s="22" t="s">
        <v>443</v>
      </c>
      <c r="D274" s="23">
        <v>7238.4</v>
      </c>
      <c r="E274" s="23">
        <v>7238.4</v>
      </c>
      <c r="F274" s="23">
        <v>7238.4</v>
      </c>
      <c r="G274" s="23"/>
      <c r="H274" s="54"/>
      <c r="I274" s="262">
        <f t="shared" si="18"/>
        <v>1</v>
      </c>
      <c r="J274" s="55" t="s">
        <v>520</v>
      </c>
      <c r="K274" s="24" t="s">
        <v>22</v>
      </c>
      <c r="L274" s="24">
        <v>1</v>
      </c>
      <c r="M274" s="139">
        <v>0.75</v>
      </c>
      <c r="N274" s="25"/>
      <c r="O274" s="25"/>
      <c r="P274" s="25"/>
      <c r="Q274" s="25"/>
      <c r="R274" s="49" t="s">
        <v>521</v>
      </c>
      <c r="S274" s="53" t="s">
        <v>1697</v>
      </c>
    </row>
    <row r="275" spans="1:19" ht="63.75" x14ac:dyDescent="0.25">
      <c r="A275" s="406"/>
      <c r="B275" s="310"/>
      <c r="C275" s="22" t="s">
        <v>32</v>
      </c>
      <c r="D275" s="23">
        <v>500</v>
      </c>
      <c r="E275" s="23">
        <v>500</v>
      </c>
      <c r="F275" s="23">
        <v>445.1</v>
      </c>
      <c r="G275" s="23">
        <v>54.9</v>
      </c>
      <c r="H275" s="54">
        <v>54.9</v>
      </c>
      <c r="I275" s="262">
        <f t="shared" si="18"/>
        <v>0.89019999999999999</v>
      </c>
      <c r="J275" s="55" t="s">
        <v>522</v>
      </c>
      <c r="K275" s="24" t="s">
        <v>22</v>
      </c>
      <c r="L275" s="24">
        <v>1</v>
      </c>
      <c r="M275" s="139">
        <v>0.71</v>
      </c>
      <c r="N275" s="25"/>
      <c r="O275" s="25"/>
      <c r="P275" s="25"/>
      <c r="Q275" s="25"/>
      <c r="R275" s="49" t="s">
        <v>523</v>
      </c>
      <c r="S275" s="53" t="s">
        <v>1698</v>
      </c>
    </row>
    <row r="276" spans="1:19" ht="25.5" x14ac:dyDescent="0.25">
      <c r="A276" s="406"/>
      <c r="B276" s="310"/>
      <c r="C276" s="22" t="s">
        <v>208</v>
      </c>
      <c r="D276" s="23">
        <v>5500</v>
      </c>
      <c r="E276" s="23">
        <v>5500</v>
      </c>
      <c r="F276" s="23">
        <v>5217.2</v>
      </c>
      <c r="G276" s="23">
        <v>282.8</v>
      </c>
      <c r="H276" s="54">
        <v>282.8</v>
      </c>
      <c r="I276" s="262">
        <f t="shared" si="18"/>
        <v>0.94858181818181819</v>
      </c>
      <c r="J276" s="55" t="s">
        <v>524</v>
      </c>
      <c r="K276" s="24" t="s">
        <v>22</v>
      </c>
      <c r="L276" s="24">
        <v>1</v>
      </c>
      <c r="M276" s="104">
        <v>1</v>
      </c>
      <c r="N276" s="25"/>
      <c r="O276" s="25"/>
      <c r="P276" s="25"/>
      <c r="Q276" s="25"/>
      <c r="R276" s="49"/>
      <c r="S276" s="53" t="s">
        <v>1699</v>
      </c>
    </row>
    <row r="277" spans="1:19" ht="51" x14ac:dyDescent="0.25">
      <c r="A277" s="406"/>
      <c r="B277" s="310"/>
      <c r="C277" s="22" t="s">
        <v>30</v>
      </c>
      <c r="D277" s="23">
        <v>1069.5</v>
      </c>
      <c r="E277" s="23">
        <v>1069.5</v>
      </c>
      <c r="F277" s="23">
        <v>373.6</v>
      </c>
      <c r="G277" s="23">
        <v>695.9</v>
      </c>
      <c r="H277" s="54">
        <v>695.9</v>
      </c>
      <c r="I277" s="262">
        <f t="shared" si="18"/>
        <v>0.34932211313697992</v>
      </c>
      <c r="J277" s="55" t="s">
        <v>525</v>
      </c>
      <c r="K277" s="24" t="s">
        <v>22</v>
      </c>
      <c r="L277" s="24">
        <v>1</v>
      </c>
      <c r="M277" s="104">
        <v>1</v>
      </c>
      <c r="N277" s="25"/>
      <c r="O277" s="25"/>
      <c r="P277" s="25"/>
      <c r="Q277" s="25"/>
      <c r="R277" s="49"/>
      <c r="S277" s="53"/>
    </row>
    <row r="278" spans="1:19" ht="26.25" thickBot="1" x14ac:dyDescent="0.3">
      <c r="A278" s="307"/>
      <c r="B278" s="309"/>
      <c r="C278" s="22" t="s">
        <v>55</v>
      </c>
      <c r="D278" s="23">
        <v>807.3</v>
      </c>
      <c r="E278" s="23">
        <v>807.3</v>
      </c>
      <c r="F278" s="23">
        <v>807.3</v>
      </c>
      <c r="G278" s="23"/>
      <c r="H278" s="23"/>
      <c r="I278" s="279">
        <f t="shared" si="18"/>
        <v>1</v>
      </c>
      <c r="J278" s="49" t="s">
        <v>526</v>
      </c>
      <c r="K278" s="24" t="s">
        <v>22</v>
      </c>
      <c r="L278" s="24">
        <v>1</v>
      </c>
      <c r="M278" s="104">
        <v>1</v>
      </c>
      <c r="N278" s="25"/>
      <c r="O278" s="25"/>
      <c r="P278" s="25"/>
      <c r="Q278" s="25"/>
      <c r="R278" s="49"/>
      <c r="S278" s="53"/>
    </row>
    <row r="279" spans="1:19" ht="39" thickBot="1" x14ac:dyDescent="0.3">
      <c r="A279" s="16" t="s">
        <v>527</v>
      </c>
      <c r="B279" s="42" t="s">
        <v>528</v>
      </c>
      <c r="C279" s="17" t="s">
        <v>32</v>
      </c>
      <c r="D279" s="26">
        <v>2060</v>
      </c>
      <c r="E279" s="26">
        <v>2060</v>
      </c>
      <c r="F279" s="26">
        <v>1028.3</v>
      </c>
      <c r="G279" s="26">
        <v>1031.7</v>
      </c>
      <c r="H279" s="26">
        <v>1031.7</v>
      </c>
      <c r="I279" s="264">
        <f t="shared" si="18"/>
        <v>0.49917475728155336</v>
      </c>
      <c r="J279" s="48" t="s">
        <v>529</v>
      </c>
      <c r="K279" s="19" t="s">
        <v>22</v>
      </c>
      <c r="L279" s="19">
        <v>10</v>
      </c>
      <c r="M279" s="108">
        <v>14</v>
      </c>
      <c r="N279" s="20"/>
      <c r="O279" s="20"/>
      <c r="P279" s="20"/>
      <c r="Q279" s="20"/>
      <c r="R279" s="146" t="s">
        <v>1715</v>
      </c>
      <c r="S279" s="52"/>
    </row>
    <row r="280" spans="1:19" ht="15.75" hidden="1" thickBot="1" x14ac:dyDescent="0.3">
      <c r="A280" s="16" t="s">
        <v>530</v>
      </c>
      <c r="B280" s="42" t="s">
        <v>531</v>
      </c>
      <c r="C280" s="17"/>
      <c r="D280" s="26"/>
      <c r="E280" s="26"/>
      <c r="F280" s="26"/>
      <c r="G280" s="26"/>
      <c r="H280" s="26"/>
      <c r="I280" s="264"/>
      <c r="J280" s="48"/>
      <c r="K280" s="19"/>
      <c r="L280" s="19"/>
      <c r="M280" s="19"/>
      <c r="N280" s="20"/>
      <c r="O280" s="20"/>
      <c r="P280" s="20"/>
      <c r="Q280" s="20"/>
      <c r="R280" s="48"/>
      <c r="S280" s="52"/>
    </row>
    <row r="281" spans="1:19" ht="21.75" customHeight="1" x14ac:dyDescent="0.25">
      <c r="A281" s="306" t="s">
        <v>532</v>
      </c>
      <c r="B281" s="308" t="s">
        <v>533</v>
      </c>
      <c r="C281" s="17"/>
      <c r="D281" s="18">
        <f>SUM(D282:D283)</f>
        <v>0.30000000000000004</v>
      </c>
      <c r="E281" s="18">
        <f>SUM(E282:E283)</f>
        <v>0.30000000000000004</v>
      </c>
      <c r="F281" s="18">
        <f>SUM(F282:F283)</f>
        <v>0.2</v>
      </c>
      <c r="G281" s="18">
        <f>SUM(G282:G283)</f>
        <v>0.1</v>
      </c>
      <c r="H281" s="18">
        <f>SUM(H282:H283)</f>
        <v>0.1</v>
      </c>
      <c r="I281" s="261">
        <f t="shared" si="18"/>
        <v>0.66666666666666663</v>
      </c>
      <c r="J281" s="314" t="s">
        <v>277</v>
      </c>
      <c r="K281" s="323" t="s">
        <v>22</v>
      </c>
      <c r="L281" s="323">
        <v>1</v>
      </c>
      <c r="M281" s="347">
        <v>1</v>
      </c>
      <c r="N281" s="20"/>
      <c r="O281" s="20"/>
      <c r="P281" s="20"/>
      <c r="Q281" s="20"/>
      <c r="R281" s="320"/>
      <c r="S281" s="317"/>
    </row>
    <row r="282" spans="1:19" x14ac:dyDescent="0.25">
      <c r="A282" s="406"/>
      <c r="B282" s="310"/>
      <c r="C282" s="22" t="s">
        <v>481</v>
      </c>
      <c r="D282" s="23">
        <v>0.2</v>
      </c>
      <c r="E282" s="23">
        <v>0.2</v>
      </c>
      <c r="F282" s="23">
        <v>0.2</v>
      </c>
      <c r="G282" s="23"/>
      <c r="H282" s="54"/>
      <c r="I282" s="262">
        <f t="shared" si="18"/>
        <v>1</v>
      </c>
      <c r="J282" s="315"/>
      <c r="K282" s="324"/>
      <c r="L282" s="324"/>
      <c r="M282" s="348"/>
      <c r="N282" s="25"/>
      <c r="O282" s="25"/>
      <c r="P282" s="25"/>
      <c r="Q282" s="25"/>
      <c r="R282" s="321"/>
      <c r="S282" s="318"/>
    </row>
    <row r="283" spans="1:19" ht="15.75" thickBot="1" x14ac:dyDescent="0.3">
      <c r="A283" s="307"/>
      <c r="B283" s="309"/>
      <c r="C283" s="22" t="s">
        <v>55</v>
      </c>
      <c r="D283" s="23">
        <v>0.1</v>
      </c>
      <c r="E283" s="23">
        <v>0.1</v>
      </c>
      <c r="F283" s="23"/>
      <c r="G283" s="23">
        <v>0.1</v>
      </c>
      <c r="H283" s="23">
        <v>0.1</v>
      </c>
      <c r="I283" s="279">
        <f t="shared" si="18"/>
        <v>0</v>
      </c>
      <c r="J283" s="316"/>
      <c r="K283" s="325"/>
      <c r="L283" s="325"/>
      <c r="M283" s="349"/>
      <c r="N283" s="25"/>
      <c r="O283" s="25"/>
      <c r="P283" s="25"/>
      <c r="Q283" s="25"/>
      <c r="R283" s="322"/>
      <c r="S283" s="319"/>
    </row>
    <row r="284" spans="1:19" ht="39" thickBot="1" x14ac:dyDescent="0.3">
      <c r="A284" s="16" t="s">
        <v>534</v>
      </c>
      <c r="B284" s="42" t="s">
        <v>535</v>
      </c>
      <c r="C284" s="17"/>
      <c r="D284" s="18">
        <f>SUM(D285:D285)</f>
        <v>841.7</v>
      </c>
      <c r="E284" s="18">
        <f>SUM(E285:E285)</f>
        <v>841.7</v>
      </c>
      <c r="F284" s="18">
        <f>SUM(F285:F285)</f>
        <v>474.09999999999997</v>
      </c>
      <c r="G284" s="18">
        <f>SUM(G285:G285)</f>
        <v>367.6</v>
      </c>
      <c r="H284" s="18">
        <f>SUM(H285:H285)</f>
        <v>367.6</v>
      </c>
      <c r="I284" s="264">
        <f t="shared" si="18"/>
        <v>0.56326482119520016</v>
      </c>
      <c r="J284" s="48" t="s">
        <v>536</v>
      </c>
      <c r="K284" s="19" t="s">
        <v>57</v>
      </c>
      <c r="L284" s="19">
        <v>2</v>
      </c>
      <c r="M284" s="107">
        <v>1</v>
      </c>
      <c r="N284" s="20"/>
      <c r="O284" s="20"/>
      <c r="P284" s="20"/>
      <c r="Q284" s="20"/>
      <c r="R284" s="48" t="s">
        <v>1807</v>
      </c>
      <c r="S284" s="52" t="s">
        <v>1735</v>
      </c>
    </row>
    <row r="285" spans="1:19" ht="16.5" customHeight="1" x14ac:dyDescent="0.25">
      <c r="A285" s="306" t="s">
        <v>537</v>
      </c>
      <c r="B285" s="308" t="s">
        <v>538</v>
      </c>
      <c r="C285" s="17"/>
      <c r="D285" s="18">
        <f>SUM(D286:D288)</f>
        <v>841.7</v>
      </c>
      <c r="E285" s="18">
        <f>SUM(E286:E288)</f>
        <v>841.7</v>
      </c>
      <c r="F285" s="18">
        <f>SUM(F286:F288)</f>
        <v>474.09999999999997</v>
      </c>
      <c r="G285" s="18">
        <f>SUM(G286:G288)</f>
        <v>367.6</v>
      </c>
      <c r="H285" s="18">
        <f>SUM(H286:H288)</f>
        <v>367.6</v>
      </c>
      <c r="I285" s="261">
        <f t="shared" si="18"/>
        <v>0.56326482119520016</v>
      </c>
      <c r="J285" s="314" t="s">
        <v>536</v>
      </c>
      <c r="K285" s="323" t="s">
        <v>22</v>
      </c>
      <c r="L285" s="323">
        <v>2</v>
      </c>
      <c r="M285" s="354">
        <v>1</v>
      </c>
      <c r="N285" s="20"/>
      <c r="O285" s="20"/>
      <c r="P285" s="20"/>
      <c r="Q285" s="20"/>
      <c r="R285" s="308" t="s">
        <v>1807</v>
      </c>
      <c r="S285" s="326" t="s">
        <v>1735</v>
      </c>
    </row>
    <row r="286" spans="1:19" x14ac:dyDescent="0.25">
      <c r="A286" s="406"/>
      <c r="B286" s="310"/>
      <c r="C286" s="22" t="s">
        <v>30</v>
      </c>
      <c r="D286" s="23">
        <v>341.7</v>
      </c>
      <c r="E286" s="23">
        <v>341.7</v>
      </c>
      <c r="F286" s="23">
        <v>334.4</v>
      </c>
      <c r="G286" s="23">
        <v>7.3</v>
      </c>
      <c r="H286" s="54">
        <v>7.3</v>
      </c>
      <c r="I286" s="262">
        <f t="shared" si="18"/>
        <v>0.97863623061164762</v>
      </c>
      <c r="J286" s="315"/>
      <c r="K286" s="324"/>
      <c r="L286" s="324"/>
      <c r="M286" s="355"/>
      <c r="N286" s="25"/>
      <c r="O286" s="25"/>
      <c r="P286" s="25"/>
      <c r="Q286" s="25"/>
      <c r="R286" s="310"/>
      <c r="S286" s="318"/>
    </row>
    <row r="287" spans="1:19" x14ac:dyDescent="0.25">
      <c r="A287" s="406"/>
      <c r="B287" s="310"/>
      <c r="C287" s="22" t="s">
        <v>481</v>
      </c>
      <c r="D287" s="23">
        <v>350</v>
      </c>
      <c r="E287" s="23">
        <v>350</v>
      </c>
      <c r="F287" s="23"/>
      <c r="G287" s="23">
        <v>350</v>
      </c>
      <c r="H287" s="54">
        <v>350</v>
      </c>
      <c r="I287" s="262">
        <f t="shared" si="18"/>
        <v>0</v>
      </c>
      <c r="J287" s="315"/>
      <c r="K287" s="324"/>
      <c r="L287" s="324"/>
      <c r="M287" s="355"/>
      <c r="N287" s="25"/>
      <c r="O287" s="25"/>
      <c r="P287" s="25"/>
      <c r="Q287" s="25"/>
      <c r="R287" s="310"/>
      <c r="S287" s="318"/>
    </row>
    <row r="288" spans="1:19" ht="15.75" thickBot="1" x14ac:dyDescent="0.3">
      <c r="A288" s="307"/>
      <c r="B288" s="309"/>
      <c r="C288" s="22" t="s">
        <v>32</v>
      </c>
      <c r="D288" s="23">
        <v>150</v>
      </c>
      <c r="E288" s="23">
        <v>150</v>
      </c>
      <c r="F288" s="23">
        <v>139.69999999999999</v>
      </c>
      <c r="G288" s="23">
        <v>10.3</v>
      </c>
      <c r="H288" s="23">
        <v>10.3</v>
      </c>
      <c r="I288" s="279">
        <f t="shared" si="18"/>
        <v>0.93133333333333324</v>
      </c>
      <c r="J288" s="316"/>
      <c r="K288" s="325"/>
      <c r="L288" s="325"/>
      <c r="M288" s="356"/>
      <c r="N288" s="25"/>
      <c r="O288" s="25"/>
      <c r="P288" s="25"/>
      <c r="Q288" s="25"/>
      <c r="R288" s="309"/>
      <c r="S288" s="319"/>
    </row>
    <row r="289" spans="1:19" ht="56.25" customHeight="1" thickBot="1" x14ac:dyDescent="0.3">
      <c r="A289" s="16" t="s">
        <v>539</v>
      </c>
      <c r="B289" s="42" t="s">
        <v>540</v>
      </c>
      <c r="C289" s="17"/>
      <c r="D289" s="18">
        <f>SUM(D290:D291)</f>
        <v>5632.8</v>
      </c>
      <c r="E289" s="18">
        <f>SUM(E290:E291)</f>
        <v>5632.8</v>
      </c>
      <c r="F289" s="18">
        <f>SUM(F290:F291)</f>
        <v>4034.9</v>
      </c>
      <c r="G289" s="18">
        <f>SUM(G290:G291)-0.1</f>
        <v>1597.9</v>
      </c>
      <c r="H289" s="18">
        <f>SUM(H290:H291)-0.1</f>
        <v>1597.9</v>
      </c>
      <c r="I289" s="264">
        <f t="shared" si="18"/>
        <v>0.71632225536145433</v>
      </c>
      <c r="J289" s="48" t="s">
        <v>541</v>
      </c>
      <c r="K289" s="19" t="s">
        <v>448</v>
      </c>
      <c r="L289" s="19">
        <v>5</v>
      </c>
      <c r="M289" s="108">
        <v>9.5</v>
      </c>
      <c r="N289" s="20"/>
      <c r="O289" s="20"/>
      <c r="P289" s="20"/>
      <c r="Q289" s="20"/>
      <c r="R289" s="48"/>
      <c r="S289" s="120"/>
    </row>
    <row r="290" spans="1:19" ht="52.5" customHeight="1" thickBot="1" x14ac:dyDescent="0.3">
      <c r="A290" s="16" t="s">
        <v>542</v>
      </c>
      <c r="B290" s="42" t="s">
        <v>543</v>
      </c>
      <c r="C290" s="17" t="s">
        <v>30</v>
      </c>
      <c r="D290" s="26">
        <v>32.799999999999997</v>
      </c>
      <c r="E290" s="26">
        <v>32.799999999999997</v>
      </c>
      <c r="F290" s="26">
        <v>29</v>
      </c>
      <c r="G290" s="26">
        <v>3.9</v>
      </c>
      <c r="H290" s="26">
        <v>3.9</v>
      </c>
      <c r="I290" s="264">
        <f t="shared" si="18"/>
        <v>0.88414634146341475</v>
      </c>
      <c r="J290" s="48" t="s">
        <v>277</v>
      </c>
      <c r="K290" s="19" t="s">
        <v>22</v>
      </c>
      <c r="L290" s="19">
        <v>1</v>
      </c>
      <c r="M290" s="111">
        <v>1</v>
      </c>
      <c r="N290" s="20"/>
      <c r="O290" s="20"/>
      <c r="P290" s="20"/>
      <c r="Q290" s="20"/>
      <c r="R290" s="147"/>
      <c r="S290" s="120"/>
    </row>
    <row r="291" spans="1:19" ht="110.25" customHeight="1" x14ac:dyDescent="0.25">
      <c r="A291" s="306" t="s">
        <v>544</v>
      </c>
      <c r="B291" s="308" t="s">
        <v>545</v>
      </c>
      <c r="C291" s="17"/>
      <c r="D291" s="18">
        <f>SUM(D292:D294)</f>
        <v>5600</v>
      </c>
      <c r="E291" s="18">
        <f>SUM(E292:E294)</f>
        <v>5600</v>
      </c>
      <c r="F291" s="18">
        <f>SUM(F292:F294)-0.1</f>
        <v>4005.9</v>
      </c>
      <c r="G291" s="18">
        <f>SUM(G292:G294)+0.1</f>
        <v>1594.1</v>
      </c>
      <c r="H291" s="18">
        <f>SUM(H292:H294)+0.1</f>
        <v>1594.1</v>
      </c>
      <c r="I291" s="261">
        <f t="shared" si="18"/>
        <v>0.71533928571428573</v>
      </c>
      <c r="J291" s="314" t="s">
        <v>541</v>
      </c>
      <c r="K291" s="323" t="s">
        <v>448</v>
      </c>
      <c r="L291" s="323">
        <v>5</v>
      </c>
      <c r="M291" s="346">
        <v>9.5</v>
      </c>
      <c r="N291" s="20"/>
      <c r="O291" s="20"/>
      <c r="P291" s="20"/>
      <c r="Q291" s="20"/>
      <c r="R291" s="308" t="s">
        <v>1736</v>
      </c>
      <c r="S291" s="317"/>
    </row>
    <row r="292" spans="1:19" x14ac:dyDescent="0.25">
      <c r="A292" s="406"/>
      <c r="B292" s="310"/>
      <c r="C292" s="22" t="s">
        <v>32</v>
      </c>
      <c r="D292" s="23">
        <v>1600</v>
      </c>
      <c r="E292" s="23">
        <v>1600</v>
      </c>
      <c r="F292" s="23">
        <v>1565.4</v>
      </c>
      <c r="G292" s="23">
        <v>34.6</v>
      </c>
      <c r="H292" s="54">
        <v>34.6</v>
      </c>
      <c r="I292" s="262">
        <f t="shared" si="18"/>
        <v>0.97837500000000011</v>
      </c>
      <c r="J292" s="315"/>
      <c r="K292" s="324"/>
      <c r="L292" s="324"/>
      <c r="M292" s="336"/>
      <c r="N292" s="25"/>
      <c r="O292" s="25"/>
      <c r="P292" s="25"/>
      <c r="Q292" s="25"/>
      <c r="R292" s="310"/>
      <c r="S292" s="318"/>
    </row>
    <row r="293" spans="1:19" x14ac:dyDescent="0.25">
      <c r="A293" s="406"/>
      <c r="B293" s="310"/>
      <c r="C293" s="22" t="s">
        <v>208</v>
      </c>
      <c r="D293" s="23">
        <v>500</v>
      </c>
      <c r="E293" s="23">
        <v>500</v>
      </c>
      <c r="F293" s="23">
        <v>500</v>
      </c>
      <c r="G293" s="23"/>
      <c r="H293" s="54"/>
      <c r="I293" s="262">
        <f t="shared" si="18"/>
        <v>1</v>
      </c>
      <c r="J293" s="315"/>
      <c r="K293" s="324"/>
      <c r="L293" s="324"/>
      <c r="M293" s="336"/>
      <c r="N293" s="25"/>
      <c r="O293" s="25"/>
      <c r="P293" s="25"/>
      <c r="Q293" s="25"/>
      <c r="R293" s="310"/>
      <c r="S293" s="318"/>
    </row>
    <row r="294" spans="1:19" ht="15.75" thickBot="1" x14ac:dyDescent="0.3">
      <c r="A294" s="307"/>
      <c r="B294" s="309"/>
      <c r="C294" s="22" t="s">
        <v>481</v>
      </c>
      <c r="D294" s="23">
        <v>3500</v>
      </c>
      <c r="E294" s="23">
        <v>3500</v>
      </c>
      <c r="F294" s="23">
        <v>1940.6</v>
      </c>
      <c r="G294" s="23">
        <v>1559.4</v>
      </c>
      <c r="H294" s="23">
        <v>1559.4</v>
      </c>
      <c r="I294" s="279">
        <f t="shared" si="18"/>
        <v>0.55445714285714287</v>
      </c>
      <c r="J294" s="316"/>
      <c r="K294" s="325"/>
      <c r="L294" s="325"/>
      <c r="M294" s="337"/>
      <c r="N294" s="25"/>
      <c r="O294" s="25"/>
      <c r="P294" s="25"/>
      <c r="Q294" s="25"/>
      <c r="R294" s="309"/>
      <c r="S294" s="319"/>
    </row>
    <row r="295" spans="1:19" ht="51.75" thickBot="1" x14ac:dyDescent="0.3">
      <c r="A295" s="16" t="s">
        <v>546</v>
      </c>
      <c r="B295" s="42" t="s">
        <v>547</v>
      </c>
      <c r="C295" s="17" t="s">
        <v>481</v>
      </c>
      <c r="D295" s="26">
        <v>597.20000000000005</v>
      </c>
      <c r="E295" s="26">
        <v>597.20000000000005</v>
      </c>
      <c r="F295" s="26">
        <v>597.1</v>
      </c>
      <c r="G295" s="26">
        <v>0.1</v>
      </c>
      <c r="H295" s="26">
        <v>0.1</v>
      </c>
      <c r="I295" s="264">
        <f t="shared" si="18"/>
        <v>0.99983255190890818</v>
      </c>
      <c r="J295" s="48" t="s">
        <v>277</v>
      </c>
      <c r="K295" s="19" t="s">
        <v>22</v>
      </c>
      <c r="L295" s="19">
        <v>1</v>
      </c>
      <c r="M295" s="111">
        <v>1</v>
      </c>
      <c r="N295" s="20"/>
      <c r="O295" s="20"/>
      <c r="P295" s="20"/>
      <c r="Q295" s="20"/>
      <c r="R295" s="147"/>
      <c r="S295" s="120"/>
    </row>
    <row r="296" spans="1:19" ht="78" customHeight="1" thickBot="1" x14ac:dyDescent="0.3">
      <c r="A296" s="16" t="s">
        <v>548</v>
      </c>
      <c r="B296" s="42" t="s">
        <v>549</v>
      </c>
      <c r="C296" s="17" t="s">
        <v>32</v>
      </c>
      <c r="D296" s="26">
        <v>694.8</v>
      </c>
      <c r="E296" s="26">
        <v>694.8</v>
      </c>
      <c r="F296" s="26">
        <v>610.1</v>
      </c>
      <c r="G296" s="26">
        <v>84.7</v>
      </c>
      <c r="H296" s="26">
        <v>84.7</v>
      </c>
      <c r="I296" s="264">
        <f t="shared" si="18"/>
        <v>0.87809441565918256</v>
      </c>
      <c r="J296" s="48" t="s">
        <v>550</v>
      </c>
      <c r="K296" s="19" t="s">
        <v>448</v>
      </c>
      <c r="L296" s="98">
        <v>600000</v>
      </c>
      <c r="M296" s="128">
        <v>600000</v>
      </c>
      <c r="N296" s="20"/>
      <c r="O296" s="20"/>
      <c r="P296" s="20"/>
      <c r="Q296" s="20"/>
      <c r="R296" s="48" t="s">
        <v>551</v>
      </c>
      <c r="S296" s="52"/>
    </row>
    <row r="297" spans="1:19" ht="26.25" thickBot="1" x14ac:dyDescent="0.3">
      <c r="A297" s="13" t="s">
        <v>552</v>
      </c>
      <c r="B297" s="41" t="s">
        <v>553</v>
      </c>
      <c r="C297" s="14"/>
      <c r="D297" s="15">
        <f>D298+D307</f>
        <v>2218.5</v>
      </c>
      <c r="E297" s="15">
        <f>E298+E307</f>
        <v>2218.5</v>
      </c>
      <c r="F297" s="15">
        <f>F298+F307</f>
        <v>1684.9</v>
      </c>
      <c r="G297" s="15">
        <f>G298+G307</f>
        <v>533.6</v>
      </c>
      <c r="H297" s="15">
        <f>H298+H307</f>
        <v>533.6</v>
      </c>
      <c r="I297" s="260">
        <f>SUM(F297/E297)</f>
        <v>0.75947712418300661</v>
      </c>
      <c r="J297" s="329"/>
      <c r="K297" s="330"/>
      <c r="L297" s="330"/>
      <c r="M297" s="330"/>
      <c r="N297" s="330"/>
      <c r="O297" s="330"/>
      <c r="P297" s="330"/>
      <c r="Q297" s="330"/>
      <c r="R297" s="330"/>
      <c r="S297" s="331"/>
    </row>
    <row r="298" spans="1:19" ht="25.5" x14ac:dyDescent="0.25">
      <c r="A298" s="306" t="s">
        <v>554</v>
      </c>
      <c r="B298" s="308" t="s">
        <v>555</v>
      </c>
      <c r="C298" s="17"/>
      <c r="D298" s="18">
        <f>SUM(D299:D306)</f>
        <v>1734.5</v>
      </c>
      <c r="E298" s="18">
        <f>SUM(E299:E306)</f>
        <v>1734.5</v>
      </c>
      <c r="F298" s="18">
        <f>SUM(F299:F306)</f>
        <v>1684.9</v>
      </c>
      <c r="G298" s="18">
        <f>SUM(G299:G306)</f>
        <v>49.6</v>
      </c>
      <c r="H298" s="18">
        <f>SUM(H299:H306)</f>
        <v>49.6</v>
      </c>
      <c r="I298" s="261">
        <f t="shared" ref="I298:I309" si="19">SUM(F298/E298)</f>
        <v>0.97140386278466417</v>
      </c>
      <c r="J298" s="48" t="s">
        <v>556</v>
      </c>
      <c r="K298" s="19" t="s">
        <v>22</v>
      </c>
      <c r="L298" s="19">
        <v>1</v>
      </c>
      <c r="M298" s="111">
        <v>1</v>
      </c>
      <c r="N298" s="20"/>
      <c r="O298" s="20"/>
      <c r="P298" s="20"/>
      <c r="Q298" s="20"/>
      <c r="R298" s="147"/>
      <c r="S298" s="52"/>
    </row>
    <row r="299" spans="1:19" ht="25.5" x14ac:dyDescent="0.25">
      <c r="A299" s="406"/>
      <c r="B299" s="310"/>
      <c r="C299" s="22" t="s">
        <v>443</v>
      </c>
      <c r="D299" s="23">
        <v>728.3</v>
      </c>
      <c r="E299" s="23">
        <v>728.3</v>
      </c>
      <c r="F299" s="23">
        <v>728.3</v>
      </c>
      <c r="G299" s="23"/>
      <c r="H299" s="54"/>
      <c r="I299" s="262">
        <f t="shared" si="19"/>
        <v>1</v>
      </c>
      <c r="J299" s="55" t="s">
        <v>557</v>
      </c>
      <c r="K299" s="24" t="s">
        <v>448</v>
      </c>
      <c r="L299" s="24">
        <v>2.8</v>
      </c>
      <c r="M299" s="140">
        <v>3.03</v>
      </c>
      <c r="N299" s="25"/>
      <c r="O299" s="25"/>
      <c r="P299" s="25"/>
      <c r="Q299" s="25"/>
      <c r="R299" s="49"/>
      <c r="S299" s="53"/>
    </row>
    <row r="300" spans="1:19" ht="25.5" x14ac:dyDescent="0.25">
      <c r="A300" s="406"/>
      <c r="B300" s="310"/>
      <c r="C300" s="22" t="s">
        <v>32</v>
      </c>
      <c r="D300" s="23">
        <v>1006.2</v>
      </c>
      <c r="E300" s="23">
        <v>1006.2</v>
      </c>
      <c r="F300" s="23">
        <v>956.6</v>
      </c>
      <c r="G300" s="23">
        <v>49.6</v>
      </c>
      <c r="H300" s="54">
        <v>49.6</v>
      </c>
      <c r="I300" s="262">
        <f t="shared" si="19"/>
        <v>0.95070562512422974</v>
      </c>
      <c r="J300" s="55" t="s">
        <v>558</v>
      </c>
      <c r="K300" s="24" t="s">
        <v>22</v>
      </c>
      <c r="L300" s="24">
        <v>1</v>
      </c>
      <c r="M300" s="104">
        <v>1</v>
      </c>
      <c r="N300" s="25"/>
      <c r="O300" s="25"/>
      <c r="P300" s="25"/>
      <c r="Q300" s="25"/>
      <c r="R300" s="145"/>
      <c r="S300" s="53"/>
    </row>
    <row r="301" spans="1:19" ht="25.5" x14ac:dyDescent="0.25">
      <c r="A301" s="406"/>
      <c r="B301" s="310"/>
      <c r="C301" s="22"/>
      <c r="D301" s="23"/>
      <c r="E301" s="23"/>
      <c r="F301" s="23"/>
      <c r="G301" s="23"/>
      <c r="H301" s="54"/>
      <c r="I301" s="262"/>
      <c r="J301" s="55" t="s">
        <v>559</v>
      </c>
      <c r="K301" s="24" t="s">
        <v>22</v>
      </c>
      <c r="L301" s="24">
        <v>1</v>
      </c>
      <c r="M301" s="103">
        <v>0</v>
      </c>
      <c r="N301" s="25"/>
      <c r="O301" s="25"/>
      <c r="P301" s="25"/>
      <c r="Q301" s="25"/>
      <c r="R301" s="49" t="s">
        <v>1810</v>
      </c>
      <c r="S301" s="53" t="s">
        <v>1809</v>
      </c>
    </row>
    <row r="302" spans="1:19" x14ac:dyDescent="0.25">
      <c r="A302" s="406"/>
      <c r="B302" s="310"/>
      <c r="C302" s="22"/>
      <c r="D302" s="23"/>
      <c r="E302" s="23"/>
      <c r="F302" s="23"/>
      <c r="G302" s="23"/>
      <c r="H302" s="54"/>
      <c r="I302" s="262"/>
      <c r="J302" s="55" t="s">
        <v>560</v>
      </c>
      <c r="K302" s="24" t="s">
        <v>22</v>
      </c>
      <c r="L302" s="24">
        <v>1</v>
      </c>
      <c r="M302" s="104">
        <v>1</v>
      </c>
      <c r="N302" s="25"/>
      <c r="O302" s="25"/>
      <c r="P302" s="25"/>
      <c r="Q302" s="25"/>
      <c r="R302" s="145"/>
      <c r="S302" s="143"/>
    </row>
    <row r="303" spans="1:19" ht="25.5" x14ac:dyDescent="0.25">
      <c r="A303" s="406"/>
      <c r="B303" s="310"/>
      <c r="C303" s="22"/>
      <c r="D303" s="23"/>
      <c r="E303" s="23"/>
      <c r="F303" s="23"/>
      <c r="G303" s="23"/>
      <c r="H303" s="54"/>
      <c r="I303" s="262"/>
      <c r="J303" s="55" t="s">
        <v>561</v>
      </c>
      <c r="K303" s="24" t="s">
        <v>22</v>
      </c>
      <c r="L303" s="24">
        <v>1</v>
      </c>
      <c r="M303" s="103">
        <v>0</v>
      </c>
      <c r="N303" s="25"/>
      <c r="O303" s="25"/>
      <c r="P303" s="25"/>
      <c r="Q303" s="25"/>
      <c r="R303" s="49" t="s">
        <v>1808</v>
      </c>
      <c r="S303" s="53" t="s">
        <v>1809</v>
      </c>
    </row>
    <row r="304" spans="1:19" ht="25.5" x14ac:dyDescent="0.25">
      <c r="A304" s="406"/>
      <c r="B304" s="310"/>
      <c r="C304" s="22"/>
      <c r="D304" s="23"/>
      <c r="E304" s="23"/>
      <c r="F304" s="23"/>
      <c r="G304" s="23"/>
      <c r="H304" s="54"/>
      <c r="I304" s="262"/>
      <c r="J304" s="55" t="s">
        <v>562</v>
      </c>
      <c r="K304" s="24" t="s">
        <v>22</v>
      </c>
      <c r="L304" s="24">
        <v>1</v>
      </c>
      <c r="M304" s="104">
        <v>1</v>
      </c>
      <c r="N304" s="25"/>
      <c r="O304" s="25"/>
      <c r="P304" s="25"/>
      <c r="Q304" s="25"/>
      <c r="R304" s="145"/>
      <c r="S304" s="53"/>
    </row>
    <row r="305" spans="1:23" ht="25.5" x14ac:dyDescent="0.25">
      <c r="A305" s="406"/>
      <c r="B305" s="310"/>
      <c r="C305" s="22"/>
      <c r="D305" s="23"/>
      <c r="E305" s="23"/>
      <c r="F305" s="23"/>
      <c r="G305" s="23"/>
      <c r="H305" s="54"/>
      <c r="I305" s="262"/>
      <c r="J305" s="55" t="s">
        <v>563</v>
      </c>
      <c r="K305" s="24" t="s">
        <v>22</v>
      </c>
      <c r="L305" s="24">
        <v>1</v>
      </c>
      <c r="M305" s="104">
        <v>1</v>
      </c>
      <c r="N305" s="25"/>
      <c r="O305" s="25"/>
      <c r="P305" s="25"/>
      <c r="Q305" s="25"/>
      <c r="R305" s="145"/>
      <c r="S305" s="53"/>
    </row>
    <row r="306" spans="1:23" ht="26.25" thickBot="1" x14ac:dyDescent="0.3">
      <c r="A306" s="307"/>
      <c r="B306" s="309"/>
      <c r="C306" s="22"/>
      <c r="D306" s="23"/>
      <c r="E306" s="23"/>
      <c r="F306" s="23"/>
      <c r="G306" s="23"/>
      <c r="H306" s="23"/>
      <c r="I306" s="279"/>
      <c r="J306" s="49" t="s">
        <v>564</v>
      </c>
      <c r="K306" s="24" t="s">
        <v>22</v>
      </c>
      <c r="L306" s="24">
        <v>1</v>
      </c>
      <c r="M306" s="104">
        <v>1</v>
      </c>
      <c r="N306" s="25"/>
      <c r="O306" s="25"/>
      <c r="P306" s="25"/>
      <c r="Q306" s="25"/>
      <c r="R306" s="145"/>
      <c r="S306" s="53"/>
    </row>
    <row r="307" spans="1:23" ht="48" customHeight="1" x14ac:dyDescent="0.25">
      <c r="A307" s="306" t="s">
        <v>565</v>
      </c>
      <c r="B307" s="308" t="s">
        <v>566</v>
      </c>
      <c r="C307" s="17"/>
      <c r="D307" s="18">
        <f>SUM(D308:D309)</f>
        <v>484</v>
      </c>
      <c r="E307" s="18">
        <f>SUM(E308:E309)</f>
        <v>484</v>
      </c>
      <c r="F307" s="18"/>
      <c r="G307" s="18">
        <f>SUM(G308:G309)</f>
        <v>484</v>
      </c>
      <c r="H307" s="18">
        <f>SUM(H308:H309)</f>
        <v>484</v>
      </c>
      <c r="I307" s="261">
        <f t="shared" si="19"/>
        <v>0</v>
      </c>
      <c r="J307" s="314" t="s">
        <v>567</v>
      </c>
      <c r="K307" s="323" t="s">
        <v>22</v>
      </c>
      <c r="L307" s="323">
        <v>20</v>
      </c>
      <c r="M307" s="346">
        <v>42</v>
      </c>
      <c r="N307" s="20"/>
      <c r="O307" s="20"/>
      <c r="P307" s="20"/>
      <c r="Q307" s="20"/>
      <c r="R307" s="308" t="s">
        <v>1704</v>
      </c>
      <c r="S307" s="462"/>
    </row>
    <row r="308" spans="1:23" x14ac:dyDescent="0.25">
      <c r="A308" s="406"/>
      <c r="B308" s="310"/>
      <c r="C308" s="22" t="s">
        <v>30</v>
      </c>
      <c r="D308" s="23">
        <v>284</v>
      </c>
      <c r="E308" s="23">
        <v>284</v>
      </c>
      <c r="F308" s="23"/>
      <c r="G308" s="23">
        <v>284</v>
      </c>
      <c r="H308" s="54">
        <v>284</v>
      </c>
      <c r="I308" s="262">
        <f t="shared" si="19"/>
        <v>0</v>
      </c>
      <c r="J308" s="315"/>
      <c r="K308" s="324"/>
      <c r="L308" s="324"/>
      <c r="M308" s="336"/>
      <c r="N308" s="25"/>
      <c r="O308" s="25"/>
      <c r="P308" s="25"/>
      <c r="Q308" s="25"/>
      <c r="R308" s="310"/>
      <c r="S308" s="422"/>
    </row>
    <row r="309" spans="1:23" ht="15.75" thickBot="1" x14ac:dyDescent="0.3">
      <c r="A309" s="307"/>
      <c r="B309" s="309"/>
      <c r="C309" s="22" t="s">
        <v>32</v>
      </c>
      <c r="D309" s="23">
        <v>200</v>
      </c>
      <c r="E309" s="23">
        <v>200</v>
      </c>
      <c r="F309" s="23"/>
      <c r="G309" s="23">
        <v>200</v>
      </c>
      <c r="H309" s="23">
        <v>200</v>
      </c>
      <c r="I309" s="279">
        <f t="shared" si="19"/>
        <v>0</v>
      </c>
      <c r="J309" s="316"/>
      <c r="K309" s="325"/>
      <c r="L309" s="325"/>
      <c r="M309" s="337"/>
      <c r="N309" s="25"/>
      <c r="O309" s="25"/>
      <c r="P309" s="25"/>
      <c r="Q309" s="25"/>
      <c r="R309" s="309"/>
      <c r="S309" s="423"/>
    </row>
    <row r="310" spans="1:23" ht="32.25" thickBot="1" x14ac:dyDescent="0.3">
      <c r="A310" s="5" t="s">
        <v>568</v>
      </c>
      <c r="B310" s="39" t="s">
        <v>569</v>
      </c>
      <c r="C310" s="6"/>
      <c r="D310" s="7">
        <f>SUM(D311:D311)</f>
        <v>3405.5</v>
      </c>
      <c r="E310" s="7">
        <f>SUM(E311:E311)</f>
        <v>3405.5</v>
      </c>
      <c r="F310" s="7">
        <f>SUM(F311:F311)</f>
        <v>2099.9000000000005</v>
      </c>
      <c r="G310" s="7">
        <f>SUM(G311:G311)</f>
        <v>1305.5999999999999</v>
      </c>
      <c r="H310" s="7">
        <f>SUM(H311:H311)</f>
        <v>1305.5999999999999</v>
      </c>
      <c r="I310" s="258">
        <f>SUM(F310/E310)</f>
        <v>0.61662017324915597</v>
      </c>
      <c r="J310" s="452"/>
      <c r="K310" s="453"/>
      <c r="L310" s="453"/>
      <c r="M310" s="453"/>
      <c r="N310" s="453"/>
      <c r="O310" s="453"/>
      <c r="P310" s="453"/>
      <c r="Q310" s="453"/>
      <c r="R310" s="453"/>
      <c r="S310" s="454"/>
      <c r="U310" s="240"/>
      <c r="V310" s="241" t="s">
        <v>1</v>
      </c>
      <c r="W310" s="251" t="s">
        <v>1939</v>
      </c>
    </row>
    <row r="311" spans="1:23" ht="38.25" customHeight="1" x14ac:dyDescent="0.25">
      <c r="A311" s="458" t="s">
        <v>570</v>
      </c>
      <c r="B311" s="449" t="s">
        <v>571</v>
      </c>
      <c r="C311" s="9"/>
      <c r="D311" s="10">
        <f>D312+D313+D314+D315+D323</f>
        <v>3405.5</v>
      </c>
      <c r="E311" s="10">
        <f>E312+E313+E314+E315+E323</f>
        <v>3405.5</v>
      </c>
      <c r="F311" s="10">
        <f>F312+F313+F314+F315+F323</f>
        <v>2099.9000000000005</v>
      </c>
      <c r="G311" s="10">
        <f>G312+G313+G314+G315+G323</f>
        <v>1305.5999999999999</v>
      </c>
      <c r="H311" s="10">
        <f>H312+H313+H314+H315+H323</f>
        <v>1305.5999999999999</v>
      </c>
      <c r="I311" s="259">
        <f>SUM(F311/E311)</f>
        <v>0.61662017324915597</v>
      </c>
      <c r="J311" s="47" t="s">
        <v>572</v>
      </c>
      <c r="K311" s="11" t="s">
        <v>29</v>
      </c>
      <c r="L311" s="11">
        <v>2.5</v>
      </c>
      <c r="M311" s="11">
        <v>9.1</v>
      </c>
      <c r="N311" s="12"/>
      <c r="O311" s="12"/>
      <c r="P311" s="12"/>
      <c r="Q311" s="12"/>
      <c r="R311" s="400"/>
      <c r="S311" s="401"/>
      <c r="U311" s="242"/>
      <c r="V311" s="243" t="s">
        <v>1930</v>
      </c>
      <c r="W311" s="244">
        <v>3</v>
      </c>
    </row>
    <row r="312" spans="1:23" ht="31.5" x14ac:dyDescent="0.25">
      <c r="A312" s="459"/>
      <c r="B312" s="450"/>
      <c r="C312" s="65"/>
      <c r="D312" s="66"/>
      <c r="E312" s="66"/>
      <c r="F312" s="66"/>
      <c r="G312" s="66"/>
      <c r="H312" s="66"/>
      <c r="I312" s="280"/>
      <c r="J312" s="64" t="s">
        <v>573</v>
      </c>
      <c r="K312" s="62" t="s">
        <v>22</v>
      </c>
      <c r="L312" s="62">
        <v>12</v>
      </c>
      <c r="M312" s="62">
        <v>50</v>
      </c>
      <c r="N312" s="63"/>
      <c r="O312" s="63"/>
      <c r="P312" s="63"/>
      <c r="Q312" s="63"/>
      <c r="R312" s="404"/>
      <c r="S312" s="405"/>
      <c r="U312" s="249"/>
      <c r="V312" s="243" t="s">
        <v>1931</v>
      </c>
      <c r="W312" s="244">
        <v>2</v>
      </c>
    </row>
    <row r="313" spans="1:23" ht="31.5" x14ac:dyDescent="0.25">
      <c r="A313" s="459"/>
      <c r="B313" s="450"/>
      <c r="C313" s="65"/>
      <c r="D313" s="66"/>
      <c r="E313" s="66"/>
      <c r="F313" s="66"/>
      <c r="G313" s="66"/>
      <c r="H313" s="66"/>
      <c r="I313" s="280"/>
      <c r="J313" s="64" t="s">
        <v>574</v>
      </c>
      <c r="K313" s="62" t="s">
        <v>29</v>
      </c>
      <c r="L313" s="62">
        <v>4.5</v>
      </c>
      <c r="M313" s="62">
        <v>-1.75</v>
      </c>
      <c r="N313" s="63"/>
      <c r="O313" s="63"/>
      <c r="P313" s="63"/>
      <c r="Q313" s="63"/>
      <c r="R313" s="404"/>
      <c r="S313" s="405"/>
      <c r="U313" s="245"/>
      <c r="V313" s="243" t="s">
        <v>1932</v>
      </c>
      <c r="W313" s="246">
        <v>2</v>
      </c>
    </row>
    <row r="314" spans="1:23" ht="39" thickBot="1" x14ac:dyDescent="0.3">
      <c r="A314" s="460"/>
      <c r="B314" s="451"/>
      <c r="C314" s="65"/>
      <c r="D314" s="66"/>
      <c r="E314" s="66"/>
      <c r="F314" s="66"/>
      <c r="G314" s="66"/>
      <c r="H314" s="66"/>
      <c r="I314" s="280"/>
      <c r="J314" s="64" t="s">
        <v>575</v>
      </c>
      <c r="K314" s="62" t="s">
        <v>29</v>
      </c>
      <c r="L314" s="62">
        <v>15</v>
      </c>
      <c r="M314" s="62">
        <v>7.9</v>
      </c>
      <c r="N314" s="63"/>
      <c r="O314" s="63"/>
      <c r="P314" s="63"/>
      <c r="Q314" s="63"/>
      <c r="R314" s="402"/>
      <c r="S314" s="403"/>
      <c r="U314" s="250"/>
      <c r="V314" s="243" t="s">
        <v>1933</v>
      </c>
      <c r="W314" s="246">
        <v>3</v>
      </c>
    </row>
    <row r="315" spans="1:23" ht="28.9" customHeight="1" thickBot="1" x14ac:dyDescent="0.3">
      <c r="A315" s="13" t="s">
        <v>576</v>
      </c>
      <c r="B315" s="41" t="s">
        <v>577</v>
      </c>
      <c r="C315" s="14"/>
      <c r="D315" s="15">
        <f>D316+D317+D320+D322</f>
        <v>182.00000000000003</v>
      </c>
      <c r="E315" s="15">
        <f>E316+E317+E320+E322</f>
        <v>182.00000000000003</v>
      </c>
      <c r="F315" s="15">
        <f>F316+F317+F320+F322+0.1</f>
        <v>167.29999999999998</v>
      </c>
      <c r="G315" s="15">
        <f>G316+G317+G320+G322-0.1</f>
        <v>14.7</v>
      </c>
      <c r="H315" s="15">
        <f>H316+H317+H320+H322-0.1</f>
        <v>14.7</v>
      </c>
      <c r="I315" s="260">
        <f>SUM(F315/E315)</f>
        <v>0.91923076923076896</v>
      </c>
      <c r="J315" s="329"/>
      <c r="K315" s="330"/>
      <c r="L315" s="330"/>
      <c r="M315" s="330"/>
      <c r="N315" s="330"/>
      <c r="O315" s="330"/>
      <c r="P315" s="330"/>
      <c r="Q315" s="330"/>
      <c r="R315" s="330"/>
      <c r="S315" s="331"/>
      <c r="U315" s="247"/>
      <c r="V315" s="243" t="s">
        <v>1934</v>
      </c>
      <c r="W315" s="246"/>
    </row>
    <row r="316" spans="1:23" ht="217.5" customHeight="1" thickBot="1" x14ac:dyDescent="0.3">
      <c r="A316" s="16" t="s">
        <v>578</v>
      </c>
      <c r="B316" s="42" t="s">
        <v>579</v>
      </c>
      <c r="C316" s="17" t="s">
        <v>32</v>
      </c>
      <c r="D316" s="26">
        <v>110.4</v>
      </c>
      <c r="E316" s="26">
        <v>110.4</v>
      </c>
      <c r="F316" s="26">
        <v>95.7</v>
      </c>
      <c r="G316" s="26">
        <v>14.7</v>
      </c>
      <c r="H316" s="26">
        <v>14.7</v>
      </c>
      <c r="I316" s="264">
        <f t="shared" ref="I316:I322" si="20">SUM(F316/E316)</f>
        <v>0.86684782608695654</v>
      </c>
      <c r="J316" s="48" t="s">
        <v>580</v>
      </c>
      <c r="K316" s="19" t="s">
        <v>22</v>
      </c>
      <c r="L316" s="19">
        <v>9</v>
      </c>
      <c r="M316" s="111">
        <v>9</v>
      </c>
      <c r="N316" s="20"/>
      <c r="O316" s="20"/>
      <c r="P316" s="20"/>
      <c r="Q316" s="20"/>
      <c r="R316" s="146" t="s">
        <v>581</v>
      </c>
      <c r="S316" s="120"/>
      <c r="U316" s="240"/>
      <c r="V316" s="248" t="s">
        <v>1935</v>
      </c>
      <c r="W316" s="246">
        <f>+SUM(W311:W315)</f>
        <v>10</v>
      </c>
    </row>
    <row r="317" spans="1:23" ht="180" customHeight="1" x14ac:dyDescent="0.25">
      <c r="A317" s="306" t="s">
        <v>582</v>
      </c>
      <c r="B317" s="308" t="s">
        <v>583</v>
      </c>
      <c r="C317" s="17" t="s">
        <v>32</v>
      </c>
      <c r="D317" s="18">
        <f>SUM(D318:D319)+22.8</f>
        <v>22.8</v>
      </c>
      <c r="E317" s="18">
        <f>SUM(E318:E319)+22.8</f>
        <v>22.8</v>
      </c>
      <c r="F317" s="18">
        <f>SUM(F318:F319)+22.8</f>
        <v>22.8</v>
      </c>
      <c r="G317" s="18"/>
      <c r="H317" s="18"/>
      <c r="I317" s="261">
        <f t="shared" si="20"/>
        <v>1</v>
      </c>
      <c r="J317" s="48" t="s">
        <v>584</v>
      </c>
      <c r="K317" s="19" t="s">
        <v>22</v>
      </c>
      <c r="L317" s="19">
        <v>5</v>
      </c>
      <c r="M317" s="108">
        <v>9</v>
      </c>
      <c r="N317" s="20"/>
      <c r="O317" s="20"/>
      <c r="P317" s="20"/>
      <c r="Q317" s="20"/>
      <c r="R317" s="48" t="s">
        <v>585</v>
      </c>
      <c r="S317" s="52"/>
    </row>
    <row r="318" spans="1:23" ht="102" customHeight="1" x14ac:dyDescent="0.25">
      <c r="A318" s="406"/>
      <c r="B318" s="310"/>
      <c r="C318" s="22"/>
      <c r="D318" s="23"/>
      <c r="E318" s="23"/>
      <c r="F318" s="23"/>
      <c r="G318" s="23"/>
      <c r="H318" s="54"/>
      <c r="I318" s="262"/>
      <c r="J318" s="55" t="s">
        <v>586</v>
      </c>
      <c r="K318" s="24" t="s">
        <v>22</v>
      </c>
      <c r="L318" s="24">
        <v>6</v>
      </c>
      <c r="M318" s="104">
        <v>6</v>
      </c>
      <c r="N318" s="25"/>
      <c r="O318" s="25"/>
      <c r="P318" s="25"/>
      <c r="Q318" s="25"/>
      <c r="R318" s="49" t="s">
        <v>587</v>
      </c>
      <c r="S318" s="53"/>
    </row>
    <row r="319" spans="1:23" ht="222.75" customHeight="1" thickBot="1" x14ac:dyDescent="0.3">
      <c r="A319" s="307"/>
      <c r="B319" s="309"/>
      <c r="C319" s="22"/>
      <c r="D319" s="23"/>
      <c r="E319" s="23"/>
      <c r="F319" s="23"/>
      <c r="G319" s="23"/>
      <c r="H319" s="23"/>
      <c r="I319" s="279"/>
      <c r="J319" s="49" t="s">
        <v>588</v>
      </c>
      <c r="K319" s="24" t="s">
        <v>428</v>
      </c>
      <c r="L319" s="24">
        <v>280</v>
      </c>
      <c r="M319" s="104">
        <v>280</v>
      </c>
      <c r="N319" s="25"/>
      <c r="O319" s="25"/>
      <c r="P319" s="25"/>
      <c r="Q319" s="25"/>
      <c r="R319" s="49" t="s">
        <v>589</v>
      </c>
      <c r="S319" s="53"/>
    </row>
    <row r="320" spans="1:23" ht="131.25" customHeight="1" x14ac:dyDescent="0.25">
      <c r="A320" s="306" t="s">
        <v>590</v>
      </c>
      <c r="B320" s="308" t="s">
        <v>591</v>
      </c>
      <c r="C320" s="17" t="s">
        <v>32</v>
      </c>
      <c r="D320" s="18">
        <f>SUM(D321:D321)+45.5</f>
        <v>45.5</v>
      </c>
      <c r="E320" s="18">
        <f>SUM(E321:E321)+45.5</f>
        <v>45.5</v>
      </c>
      <c r="F320" s="18">
        <f>SUM(F321:F321)+45.5</f>
        <v>45.5</v>
      </c>
      <c r="G320" s="18">
        <f>SUM(G321:G321)</f>
        <v>0</v>
      </c>
      <c r="H320" s="18">
        <f>SUM(H321:H321)</f>
        <v>0</v>
      </c>
      <c r="I320" s="264">
        <f t="shared" si="20"/>
        <v>1</v>
      </c>
      <c r="J320" s="48" t="s">
        <v>592</v>
      </c>
      <c r="K320" s="19" t="s">
        <v>57</v>
      </c>
      <c r="L320" s="19">
        <v>35</v>
      </c>
      <c r="M320" s="108">
        <v>70</v>
      </c>
      <c r="N320" s="20"/>
      <c r="O320" s="20"/>
      <c r="P320" s="20"/>
      <c r="Q320" s="20"/>
      <c r="R320" s="48" t="s">
        <v>593</v>
      </c>
      <c r="S320" s="52"/>
    </row>
    <row r="321" spans="1:19" ht="243" customHeight="1" thickBot="1" x14ac:dyDescent="0.3">
      <c r="A321" s="307"/>
      <c r="B321" s="309"/>
      <c r="C321" s="22"/>
      <c r="D321" s="23"/>
      <c r="E321" s="23"/>
      <c r="F321" s="23"/>
      <c r="G321" s="23"/>
      <c r="H321" s="23"/>
      <c r="I321" s="279"/>
      <c r="J321" s="49" t="s">
        <v>594</v>
      </c>
      <c r="K321" s="24" t="s">
        <v>22</v>
      </c>
      <c r="L321" s="24">
        <v>15</v>
      </c>
      <c r="M321" s="202">
        <v>16</v>
      </c>
      <c r="N321" s="25"/>
      <c r="O321" s="25"/>
      <c r="P321" s="25"/>
      <c r="Q321" s="25"/>
      <c r="R321" s="49" t="s">
        <v>595</v>
      </c>
      <c r="S321" s="53"/>
    </row>
    <row r="322" spans="1:19" ht="129.75" customHeight="1" thickBot="1" x14ac:dyDescent="0.3">
      <c r="A322" s="16" t="s">
        <v>596</v>
      </c>
      <c r="B322" s="42" t="s">
        <v>597</v>
      </c>
      <c r="C322" s="17" t="s">
        <v>32</v>
      </c>
      <c r="D322" s="26">
        <v>3.3</v>
      </c>
      <c r="E322" s="26">
        <v>3.3</v>
      </c>
      <c r="F322" s="26">
        <v>3.2</v>
      </c>
      <c r="G322" s="26">
        <v>0.1</v>
      </c>
      <c r="H322" s="26">
        <v>0.1</v>
      </c>
      <c r="I322" s="264">
        <f t="shared" si="20"/>
        <v>0.96969696969696983</v>
      </c>
      <c r="J322" s="48" t="s">
        <v>598</v>
      </c>
      <c r="K322" s="19" t="s">
        <v>57</v>
      </c>
      <c r="L322" s="19">
        <v>10</v>
      </c>
      <c r="M322" s="111">
        <v>10</v>
      </c>
      <c r="N322" s="20"/>
      <c r="O322" s="20"/>
      <c r="P322" s="20"/>
      <c r="Q322" s="20"/>
      <c r="R322" s="146" t="s">
        <v>1879</v>
      </c>
      <c r="S322" s="115"/>
    </row>
    <row r="323" spans="1:19" ht="21" customHeight="1" thickBot="1" x14ac:dyDescent="0.3">
      <c r="A323" s="13" t="s">
        <v>599</v>
      </c>
      <c r="B323" s="41" t="s">
        <v>600</v>
      </c>
      <c r="C323" s="14"/>
      <c r="D323" s="15">
        <f>D324+D327+D345+D347+D348+D357</f>
        <v>3223.5</v>
      </c>
      <c r="E323" s="15">
        <f>E324+E327+E345+E347+E348+E357</f>
        <v>3223.5</v>
      </c>
      <c r="F323" s="15">
        <f>F324+F327+F345+F347+F348+F357</f>
        <v>1932.6000000000004</v>
      </c>
      <c r="G323" s="15">
        <f>G324+G327+G345+G347+G348+G357</f>
        <v>1290.8999999999999</v>
      </c>
      <c r="H323" s="15">
        <f>H324+H327+H345+H347+H348+H357</f>
        <v>1290.8999999999999</v>
      </c>
      <c r="I323" s="260">
        <f>SUM(F323/E323)</f>
        <v>0.59953466728711036</v>
      </c>
      <c r="J323" s="329"/>
      <c r="K323" s="330"/>
      <c r="L323" s="330"/>
      <c r="M323" s="330"/>
      <c r="N323" s="330"/>
      <c r="O323" s="330"/>
      <c r="P323" s="330"/>
      <c r="Q323" s="330"/>
      <c r="R323" s="330"/>
      <c r="S323" s="331"/>
    </row>
    <row r="324" spans="1:19" ht="81.75" customHeight="1" x14ac:dyDescent="0.25">
      <c r="A324" s="306" t="s">
        <v>601</v>
      </c>
      <c r="B324" s="308" t="s">
        <v>602</v>
      </c>
      <c r="C324" s="17"/>
      <c r="D324" s="18">
        <f>SUM(D325:D326)</f>
        <v>150</v>
      </c>
      <c r="E324" s="18">
        <f>SUM(E325:E326)</f>
        <v>150</v>
      </c>
      <c r="F324" s="18">
        <f>SUM(F325:F326)</f>
        <v>97.8</v>
      </c>
      <c r="G324" s="18">
        <f>SUM(G325:G326)</f>
        <v>52.2</v>
      </c>
      <c r="H324" s="18">
        <f>SUM(H325:H326)</f>
        <v>52.2</v>
      </c>
      <c r="I324" s="261">
        <f t="shared" ref="I324:I357" si="21">SUM(F324/E324)</f>
        <v>0.65200000000000002</v>
      </c>
      <c r="J324" s="314" t="s">
        <v>603</v>
      </c>
      <c r="K324" s="323" t="s">
        <v>22</v>
      </c>
      <c r="L324" s="323">
        <v>15</v>
      </c>
      <c r="M324" s="346">
        <v>21</v>
      </c>
      <c r="N324" s="20"/>
      <c r="O324" s="20"/>
      <c r="P324" s="20"/>
      <c r="Q324" s="20"/>
      <c r="R324" s="308" t="s">
        <v>604</v>
      </c>
      <c r="S324" s="462"/>
    </row>
    <row r="325" spans="1:19" x14ac:dyDescent="0.25">
      <c r="A325" s="406"/>
      <c r="B325" s="310"/>
      <c r="C325" s="22" t="s">
        <v>30</v>
      </c>
      <c r="D325" s="23">
        <v>50</v>
      </c>
      <c r="E325" s="23">
        <v>50</v>
      </c>
      <c r="F325" s="23">
        <v>50</v>
      </c>
      <c r="G325" s="23"/>
      <c r="H325" s="54"/>
      <c r="I325" s="262">
        <f t="shared" si="21"/>
        <v>1</v>
      </c>
      <c r="J325" s="315"/>
      <c r="K325" s="324"/>
      <c r="L325" s="324"/>
      <c r="M325" s="336"/>
      <c r="N325" s="25"/>
      <c r="O325" s="25"/>
      <c r="P325" s="25"/>
      <c r="Q325" s="25"/>
      <c r="R325" s="310"/>
      <c r="S325" s="422"/>
    </row>
    <row r="326" spans="1:19" ht="18.75" customHeight="1" thickBot="1" x14ac:dyDescent="0.3">
      <c r="A326" s="307"/>
      <c r="B326" s="309"/>
      <c r="C326" s="22" t="s">
        <v>32</v>
      </c>
      <c r="D326" s="23">
        <v>100</v>
      </c>
      <c r="E326" s="23">
        <v>100</v>
      </c>
      <c r="F326" s="23">
        <v>47.8</v>
      </c>
      <c r="G326" s="23">
        <v>52.2</v>
      </c>
      <c r="H326" s="23">
        <v>52.2</v>
      </c>
      <c r="I326" s="279">
        <f t="shared" si="21"/>
        <v>0.47799999999999998</v>
      </c>
      <c r="J326" s="316"/>
      <c r="K326" s="325"/>
      <c r="L326" s="325"/>
      <c r="M326" s="337"/>
      <c r="N326" s="25"/>
      <c r="O326" s="25"/>
      <c r="P326" s="25"/>
      <c r="Q326" s="25"/>
      <c r="R326" s="309"/>
      <c r="S326" s="423"/>
    </row>
    <row r="327" spans="1:19" ht="76.5" x14ac:dyDescent="0.25">
      <c r="A327" s="306" t="s">
        <v>605</v>
      </c>
      <c r="B327" s="308" t="s">
        <v>606</v>
      </c>
      <c r="C327" s="17"/>
      <c r="D327" s="18">
        <f>D328+D329+D330+D331+D332+D333+D335+D338+D341+D344</f>
        <v>2286.5</v>
      </c>
      <c r="E327" s="18">
        <f>E328+E329+E330+E331+E332+E333+E335+E338+E341+E344</f>
        <v>2286.5</v>
      </c>
      <c r="F327" s="18">
        <f>F328+F329+F330+F331+F332+F333+F335+F338+F341+F344-0.1</f>
        <v>1189.2000000000003</v>
      </c>
      <c r="G327" s="18">
        <f>G328+G329+G330+G331+G332+G333+G335+G338+G341+G344+0.1</f>
        <v>1097.3</v>
      </c>
      <c r="H327" s="18">
        <f>H328+H329+H330+H331+H332+H333+H335+H338+H341+H344+0.1</f>
        <v>1097.3</v>
      </c>
      <c r="I327" s="261">
        <f t="shared" si="21"/>
        <v>0.52009621692543195</v>
      </c>
      <c r="J327" s="48" t="s">
        <v>607</v>
      </c>
      <c r="K327" s="19" t="s">
        <v>22</v>
      </c>
      <c r="L327" s="19">
        <v>2</v>
      </c>
      <c r="M327" s="111">
        <v>2</v>
      </c>
      <c r="N327" s="20"/>
      <c r="O327" s="20"/>
      <c r="P327" s="20"/>
      <c r="Q327" s="20"/>
      <c r="R327" s="48" t="s">
        <v>608</v>
      </c>
      <c r="S327" s="120"/>
    </row>
    <row r="328" spans="1:19" ht="63.75" x14ac:dyDescent="0.25">
      <c r="A328" s="406"/>
      <c r="B328" s="310"/>
      <c r="C328" s="22"/>
      <c r="D328" s="23"/>
      <c r="E328" s="23"/>
      <c r="F328" s="23"/>
      <c r="G328" s="23"/>
      <c r="H328" s="54"/>
      <c r="I328" s="262"/>
      <c r="J328" s="55" t="s">
        <v>609</v>
      </c>
      <c r="K328" s="24" t="s">
        <v>282</v>
      </c>
      <c r="L328" s="24">
        <v>1</v>
      </c>
      <c r="M328" s="103">
        <v>0</v>
      </c>
      <c r="N328" s="25"/>
      <c r="O328" s="25"/>
      <c r="P328" s="25"/>
      <c r="Q328" s="25"/>
      <c r="R328" s="49" t="s">
        <v>1811</v>
      </c>
      <c r="S328" s="53" t="s">
        <v>1812</v>
      </c>
    </row>
    <row r="329" spans="1:19" ht="42.75" customHeight="1" x14ac:dyDescent="0.25">
      <c r="A329" s="406"/>
      <c r="B329" s="310"/>
      <c r="C329" s="22"/>
      <c r="D329" s="23"/>
      <c r="E329" s="23"/>
      <c r="F329" s="23"/>
      <c r="G329" s="23"/>
      <c r="H329" s="54"/>
      <c r="I329" s="262"/>
      <c r="J329" s="55" t="s">
        <v>610</v>
      </c>
      <c r="K329" s="24" t="s">
        <v>282</v>
      </c>
      <c r="L329" s="24">
        <v>1</v>
      </c>
      <c r="M329" s="103">
        <v>0</v>
      </c>
      <c r="N329" s="25"/>
      <c r="O329" s="25"/>
      <c r="P329" s="25"/>
      <c r="Q329" s="25"/>
      <c r="R329" s="145"/>
      <c r="S329" s="53" t="s">
        <v>1706</v>
      </c>
    </row>
    <row r="330" spans="1:19" ht="106.5" customHeight="1" x14ac:dyDescent="0.25">
      <c r="A330" s="406"/>
      <c r="B330" s="310"/>
      <c r="C330" s="22"/>
      <c r="D330" s="23"/>
      <c r="E330" s="23"/>
      <c r="F330" s="23"/>
      <c r="G330" s="23"/>
      <c r="H330" s="54"/>
      <c r="I330" s="262"/>
      <c r="J330" s="55" t="s">
        <v>612</v>
      </c>
      <c r="K330" s="24" t="s">
        <v>282</v>
      </c>
      <c r="L330" s="24">
        <v>1</v>
      </c>
      <c r="M330" s="103">
        <v>0</v>
      </c>
      <c r="N330" s="25"/>
      <c r="O330" s="25"/>
      <c r="P330" s="25"/>
      <c r="Q330" s="25"/>
      <c r="R330" s="49" t="s">
        <v>1813</v>
      </c>
      <c r="S330" s="53" t="s">
        <v>1814</v>
      </c>
    </row>
    <row r="331" spans="1:19" ht="39" thickBot="1" x14ac:dyDescent="0.3">
      <c r="A331" s="307"/>
      <c r="B331" s="309"/>
      <c r="C331" s="22"/>
      <c r="D331" s="23"/>
      <c r="E331" s="23"/>
      <c r="F331" s="23"/>
      <c r="G331" s="23"/>
      <c r="H331" s="23"/>
      <c r="I331" s="279"/>
      <c r="J331" s="49" t="s">
        <v>613</v>
      </c>
      <c r="K331" s="24" t="s">
        <v>29</v>
      </c>
      <c r="L331" s="24">
        <v>10</v>
      </c>
      <c r="M331" s="103">
        <v>0</v>
      </c>
      <c r="N331" s="25"/>
      <c r="O331" s="25"/>
      <c r="P331" s="25"/>
      <c r="Q331" s="25"/>
      <c r="R331" s="49" t="s">
        <v>614</v>
      </c>
      <c r="S331" s="53" t="s">
        <v>1700</v>
      </c>
    </row>
    <row r="332" spans="1:19" ht="51.75" thickBot="1" x14ac:dyDescent="0.3">
      <c r="A332" s="16" t="s">
        <v>615</v>
      </c>
      <c r="B332" s="42" t="s">
        <v>616</v>
      </c>
      <c r="C332" s="17" t="s">
        <v>30</v>
      </c>
      <c r="D332" s="26">
        <v>15.1</v>
      </c>
      <c r="E332" s="26">
        <v>15.1</v>
      </c>
      <c r="F332" s="26">
        <v>15.1</v>
      </c>
      <c r="G332" s="26"/>
      <c r="H332" s="26"/>
      <c r="I332" s="264">
        <f t="shared" si="21"/>
        <v>1</v>
      </c>
      <c r="J332" s="48" t="s">
        <v>277</v>
      </c>
      <c r="K332" s="19" t="s">
        <v>22</v>
      </c>
      <c r="L332" s="19">
        <v>1</v>
      </c>
      <c r="M332" s="111">
        <v>1</v>
      </c>
      <c r="N332" s="20"/>
      <c r="O332" s="20"/>
      <c r="P332" s="20"/>
      <c r="Q332" s="20"/>
      <c r="R332" s="147"/>
      <c r="S332" s="52"/>
    </row>
    <row r="333" spans="1:19" ht="66" customHeight="1" x14ac:dyDescent="0.25">
      <c r="A333" s="306" t="s">
        <v>617</v>
      </c>
      <c r="B333" s="308" t="s">
        <v>618</v>
      </c>
      <c r="C333" s="17"/>
      <c r="D333" s="18">
        <f>SUM(D334:D334)</f>
        <v>36.299999999999997</v>
      </c>
      <c r="E333" s="18">
        <f>SUM(E334:E334)</f>
        <v>36.299999999999997</v>
      </c>
      <c r="F333" s="18">
        <f>SUM(F334:F334)</f>
        <v>36.299999999999997</v>
      </c>
      <c r="G333" s="18"/>
      <c r="H333" s="18"/>
      <c r="I333" s="264">
        <f t="shared" si="21"/>
        <v>1</v>
      </c>
      <c r="J333" s="308" t="s">
        <v>607</v>
      </c>
      <c r="K333" s="323" t="s">
        <v>22</v>
      </c>
      <c r="L333" s="323">
        <v>2</v>
      </c>
      <c r="M333" s="347">
        <v>2</v>
      </c>
      <c r="N333" s="20"/>
      <c r="O333" s="20"/>
      <c r="P333" s="20"/>
      <c r="Q333" s="20"/>
      <c r="R333" s="308" t="s">
        <v>608</v>
      </c>
      <c r="S333" s="303"/>
    </row>
    <row r="334" spans="1:19" ht="15.75" thickBot="1" x14ac:dyDescent="0.3">
      <c r="A334" s="307"/>
      <c r="B334" s="309"/>
      <c r="C334" s="22" t="s">
        <v>55</v>
      </c>
      <c r="D334" s="23">
        <v>36.299999999999997</v>
      </c>
      <c r="E334" s="23">
        <v>36.299999999999997</v>
      </c>
      <c r="F334" s="23">
        <v>36.299999999999997</v>
      </c>
      <c r="G334" s="23"/>
      <c r="H334" s="23"/>
      <c r="I334" s="279">
        <f t="shared" si="21"/>
        <v>1</v>
      </c>
      <c r="J334" s="309"/>
      <c r="K334" s="325"/>
      <c r="L334" s="325"/>
      <c r="M334" s="349"/>
      <c r="N334" s="25"/>
      <c r="O334" s="25"/>
      <c r="P334" s="25"/>
      <c r="Q334" s="25"/>
      <c r="R334" s="309"/>
      <c r="S334" s="305"/>
    </row>
    <row r="335" spans="1:19" ht="96.75" customHeight="1" x14ac:dyDescent="0.25">
      <c r="A335" s="306" t="s">
        <v>619</v>
      </c>
      <c r="B335" s="308" t="s">
        <v>620</v>
      </c>
      <c r="C335" s="17"/>
      <c r="D335" s="18">
        <f>SUM(D336:D337)</f>
        <v>423.5</v>
      </c>
      <c r="E335" s="18">
        <f>SUM(E336:E337)</f>
        <v>423.5</v>
      </c>
      <c r="F335" s="18">
        <f>SUM(F336:F337)</f>
        <v>16</v>
      </c>
      <c r="G335" s="18">
        <f>SUM(G336:G337)</f>
        <v>407.5</v>
      </c>
      <c r="H335" s="18">
        <f>SUM(H336:H337)</f>
        <v>407.5</v>
      </c>
      <c r="I335" s="261">
        <f t="shared" si="21"/>
        <v>3.7780401416765051E-2</v>
      </c>
      <c r="J335" s="314" t="s">
        <v>610</v>
      </c>
      <c r="K335" s="323" t="s">
        <v>282</v>
      </c>
      <c r="L335" s="323">
        <v>1</v>
      </c>
      <c r="M335" s="380">
        <v>0</v>
      </c>
      <c r="N335" s="20"/>
      <c r="O335" s="20"/>
      <c r="P335" s="20"/>
      <c r="Q335" s="20"/>
      <c r="R335" s="308" t="s">
        <v>611</v>
      </c>
      <c r="S335" s="326" t="s">
        <v>1815</v>
      </c>
    </row>
    <row r="336" spans="1:19" x14ac:dyDescent="0.25">
      <c r="A336" s="406"/>
      <c r="B336" s="310"/>
      <c r="C336" s="22" t="s">
        <v>32</v>
      </c>
      <c r="D336" s="23">
        <v>407</v>
      </c>
      <c r="E336" s="23">
        <v>407</v>
      </c>
      <c r="F336" s="23"/>
      <c r="G336" s="23">
        <v>407</v>
      </c>
      <c r="H336" s="54">
        <v>407</v>
      </c>
      <c r="I336" s="262">
        <f t="shared" si="21"/>
        <v>0</v>
      </c>
      <c r="J336" s="315"/>
      <c r="K336" s="324"/>
      <c r="L336" s="324"/>
      <c r="M336" s="381"/>
      <c r="N336" s="25"/>
      <c r="O336" s="25"/>
      <c r="P336" s="25"/>
      <c r="Q336" s="25"/>
      <c r="R336" s="310"/>
      <c r="S336" s="332"/>
    </row>
    <row r="337" spans="1:19" ht="15.75" thickBot="1" x14ac:dyDescent="0.3">
      <c r="A337" s="307"/>
      <c r="B337" s="309"/>
      <c r="C337" s="22" t="s">
        <v>30</v>
      </c>
      <c r="D337" s="23">
        <v>16.5</v>
      </c>
      <c r="E337" s="23">
        <v>16.5</v>
      </c>
      <c r="F337" s="23">
        <v>16</v>
      </c>
      <c r="G337" s="23">
        <v>0.5</v>
      </c>
      <c r="H337" s="23">
        <v>0.5</v>
      </c>
      <c r="I337" s="279">
        <f t="shared" si="21"/>
        <v>0.96969696969696972</v>
      </c>
      <c r="J337" s="316"/>
      <c r="K337" s="325"/>
      <c r="L337" s="325"/>
      <c r="M337" s="382"/>
      <c r="N337" s="25"/>
      <c r="O337" s="25"/>
      <c r="P337" s="25"/>
      <c r="Q337" s="25"/>
      <c r="R337" s="309"/>
      <c r="S337" s="327"/>
    </row>
    <row r="338" spans="1:19" ht="37.5" customHeight="1" x14ac:dyDescent="0.25">
      <c r="A338" s="306" t="s">
        <v>621</v>
      </c>
      <c r="B338" s="308" t="s">
        <v>622</v>
      </c>
      <c r="C338" s="17"/>
      <c r="D338" s="18">
        <f>SUM(D339:D340)</f>
        <v>580</v>
      </c>
      <c r="E338" s="18">
        <f>SUM(E339:E340)</f>
        <v>580</v>
      </c>
      <c r="F338" s="18">
        <f>SUM(F339:F340)</f>
        <v>260.8</v>
      </c>
      <c r="G338" s="18">
        <f>SUM(G339:G340)</f>
        <v>319.2</v>
      </c>
      <c r="H338" s="18">
        <f>SUM(H339:H340)</f>
        <v>319.2</v>
      </c>
      <c r="I338" s="261">
        <f t="shared" si="21"/>
        <v>0.4496551724137931</v>
      </c>
      <c r="J338" s="314" t="s">
        <v>609</v>
      </c>
      <c r="K338" s="323" t="s">
        <v>282</v>
      </c>
      <c r="L338" s="323">
        <v>1</v>
      </c>
      <c r="M338" s="380">
        <v>0</v>
      </c>
      <c r="N338" s="20"/>
      <c r="O338" s="20"/>
      <c r="P338" s="20"/>
      <c r="Q338" s="20"/>
      <c r="R338" s="308" t="s">
        <v>1811</v>
      </c>
      <c r="S338" s="326" t="s">
        <v>1812</v>
      </c>
    </row>
    <row r="339" spans="1:19" x14ac:dyDescent="0.25">
      <c r="A339" s="406"/>
      <c r="B339" s="310"/>
      <c r="C339" s="22" t="s">
        <v>32</v>
      </c>
      <c r="D339" s="23">
        <v>300</v>
      </c>
      <c r="E339" s="23">
        <v>300</v>
      </c>
      <c r="F339" s="23"/>
      <c r="G339" s="23">
        <v>300</v>
      </c>
      <c r="H339" s="54">
        <v>300</v>
      </c>
      <c r="I339" s="262">
        <f t="shared" si="21"/>
        <v>0</v>
      </c>
      <c r="J339" s="315"/>
      <c r="K339" s="324"/>
      <c r="L339" s="324"/>
      <c r="M339" s="381"/>
      <c r="N339" s="25"/>
      <c r="O339" s="25"/>
      <c r="P339" s="25"/>
      <c r="Q339" s="25"/>
      <c r="R339" s="310"/>
      <c r="S339" s="318"/>
    </row>
    <row r="340" spans="1:19" ht="18.75" customHeight="1" thickBot="1" x14ac:dyDescent="0.3">
      <c r="A340" s="307"/>
      <c r="B340" s="309"/>
      <c r="C340" s="22" t="s">
        <v>30</v>
      </c>
      <c r="D340" s="23">
        <v>280</v>
      </c>
      <c r="E340" s="23">
        <v>280</v>
      </c>
      <c r="F340" s="23">
        <v>260.8</v>
      </c>
      <c r="G340" s="23">
        <v>19.2</v>
      </c>
      <c r="H340" s="23">
        <v>19.2</v>
      </c>
      <c r="I340" s="279">
        <f t="shared" si="21"/>
        <v>0.93142857142857149</v>
      </c>
      <c r="J340" s="316"/>
      <c r="K340" s="325"/>
      <c r="L340" s="325"/>
      <c r="M340" s="382"/>
      <c r="N340" s="25"/>
      <c r="O340" s="25"/>
      <c r="P340" s="25"/>
      <c r="Q340" s="25"/>
      <c r="R340" s="309"/>
      <c r="S340" s="319"/>
    </row>
    <row r="341" spans="1:19" ht="72.75" customHeight="1" x14ac:dyDescent="0.25">
      <c r="A341" s="306" t="s">
        <v>623</v>
      </c>
      <c r="B341" s="308" t="s">
        <v>624</v>
      </c>
      <c r="C341" s="17"/>
      <c r="D341" s="18">
        <f>SUM(D342:D343)</f>
        <v>1231.5999999999999</v>
      </c>
      <c r="E341" s="18">
        <f>SUM(E342:E343)</f>
        <v>1231.5999999999999</v>
      </c>
      <c r="F341" s="18">
        <f>SUM(F342:F343)</f>
        <v>861.1</v>
      </c>
      <c r="G341" s="18">
        <f>SUM(G342:G343)</f>
        <v>370.5</v>
      </c>
      <c r="H341" s="18">
        <f>SUM(H342:H343)</f>
        <v>370.5</v>
      </c>
      <c r="I341" s="261">
        <f t="shared" si="21"/>
        <v>0.69917180902890552</v>
      </c>
      <c r="J341" s="314" t="s">
        <v>612</v>
      </c>
      <c r="K341" s="323" t="s">
        <v>282</v>
      </c>
      <c r="L341" s="323">
        <v>1</v>
      </c>
      <c r="M341" s="380">
        <v>0</v>
      </c>
      <c r="N341" s="20"/>
      <c r="O341" s="20"/>
      <c r="P341" s="20"/>
      <c r="Q341" s="20"/>
      <c r="R341" s="308" t="s">
        <v>1813</v>
      </c>
      <c r="S341" s="326" t="s">
        <v>1816</v>
      </c>
    </row>
    <row r="342" spans="1:19" x14ac:dyDescent="0.25">
      <c r="A342" s="406"/>
      <c r="B342" s="310"/>
      <c r="C342" s="22" t="s">
        <v>32</v>
      </c>
      <c r="D342" s="23">
        <v>201</v>
      </c>
      <c r="E342" s="23">
        <v>201</v>
      </c>
      <c r="F342" s="23"/>
      <c r="G342" s="23">
        <v>201</v>
      </c>
      <c r="H342" s="54">
        <v>201</v>
      </c>
      <c r="I342" s="262">
        <f t="shared" si="21"/>
        <v>0</v>
      </c>
      <c r="J342" s="315"/>
      <c r="K342" s="324"/>
      <c r="L342" s="324"/>
      <c r="M342" s="381"/>
      <c r="N342" s="25"/>
      <c r="O342" s="25"/>
      <c r="P342" s="25"/>
      <c r="Q342" s="25"/>
      <c r="R342" s="310"/>
      <c r="S342" s="332"/>
    </row>
    <row r="343" spans="1:19" ht="15.75" thickBot="1" x14ac:dyDescent="0.3">
      <c r="A343" s="307"/>
      <c r="B343" s="309"/>
      <c r="C343" s="22" t="s">
        <v>55</v>
      </c>
      <c r="D343" s="23">
        <v>1030.5999999999999</v>
      </c>
      <c r="E343" s="23">
        <v>1030.5999999999999</v>
      </c>
      <c r="F343" s="23">
        <v>861.1</v>
      </c>
      <c r="G343" s="23">
        <v>169.5</v>
      </c>
      <c r="H343" s="23">
        <v>169.5</v>
      </c>
      <c r="I343" s="279">
        <f t="shared" si="21"/>
        <v>0.8355326993984088</v>
      </c>
      <c r="J343" s="316"/>
      <c r="K343" s="325"/>
      <c r="L343" s="325"/>
      <c r="M343" s="382"/>
      <c r="N343" s="25"/>
      <c r="O343" s="25"/>
      <c r="P343" s="25"/>
      <c r="Q343" s="25"/>
      <c r="R343" s="309"/>
      <c r="S343" s="327"/>
    </row>
    <row r="344" spans="1:19" ht="39" thickBot="1" x14ac:dyDescent="0.3">
      <c r="A344" s="16" t="s">
        <v>625</v>
      </c>
      <c r="B344" s="42" t="s">
        <v>613</v>
      </c>
      <c r="C344" s="17" t="s">
        <v>32</v>
      </c>
      <c r="D344" s="26"/>
      <c r="E344" s="26"/>
      <c r="F344" s="26"/>
      <c r="G344" s="26"/>
      <c r="H344" s="26"/>
      <c r="I344" s="264"/>
      <c r="J344" s="48" t="s">
        <v>613</v>
      </c>
      <c r="K344" s="19" t="s">
        <v>29</v>
      </c>
      <c r="L344" s="19">
        <v>10</v>
      </c>
      <c r="M344" s="106">
        <v>0</v>
      </c>
      <c r="N344" s="20"/>
      <c r="O344" s="20"/>
      <c r="P344" s="20"/>
      <c r="Q344" s="20"/>
      <c r="R344" s="48" t="s">
        <v>614</v>
      </c>
      <c r="S344" s="52" t="s">
        <v>1700</v>
      </c>
    </row>
    <row r="345" spans="1:19" ht="51.75" customHeight="1" x14ac:dyDescent="0.25">
      <c r="A345" s="306" t="s">
        <v>626</v>
      </c>
      <c r="B345" s="308" t="s">
        <v>627</v>
      </c>
      <c r="C345" s="17" t="s">
        <v>32</v>
      </c>
      <c r="D345" s="18">
        <f>SUM(D346:D346)+565</f>
        <v>565</v>
      </c>
      <c r="E345" s="18">
        <f>SUM(E346:E346)+565</f>
        <v>565</v>
      </c>
      <c r="F345" s="18">
        <f>SUM(F346:F346)+561.5</f>
        <v>561.5</v>
      </c>
      <c r="G345" s="18">
        <f>SUM(G346:G346)+3.5</f>
        <v>3.5</v>
      </c>
      <c r="H345" s="18">
        <f>SUM(H346:H346)+3.5</f>
        <v>3.5</v>
      </c>
      <c r="I345" s="264">
        <f t="shared" si="21"/>
        <v>0.99380530973451331</v>
      </c>
      <c r="J345" s="48" t="s">
        <v>628</v>
      </c>
      <c r="K345" s="19" t="s">
        <v>29</v>
      </c>
      <c r="L345" s="19">
        <v>100</v>
      </c>
      <c r="M345" s="111">
        <v>100</v>
      </c>
      <c r="N345" s="20"/>
      <c r="O345" s="20"/>
      <c r="P345" s="20"/>
      <c r="Q345" s="20"/>
      <c r="R345" s="48" t="s">
        <v>1640</v>
      </c>
      <c r="S345" s="303"/>
    </row>
    <row r="346" spans="1:19" ht="15.75" thickBot="1" x14ac:dyDescent="0.3">
      <c r="A346" s="307"/>
      <c r="B346" s="309"/>
      <c r="C346" s="22"/>
      <c r="D346" s="23"/>
      <c r="E346" s="23"/>
      <c r="F346" s="23"/>
      <c r="G346" s="23"/>
      <c r="H346" s="23"/>
      <c r="I346" s="279"/>
      <c r="J346" s="49" t="s">
        <v>629</v>
      </c>
      <c r="K346" s="24" t="s">
        <v>22</v>
      </c>
      <c r="L346" s="24">
        <v>1</v>
      </c>
      <c r="M346" s="104">
        <v>1</v>
      </c>
      <c r="N346" s="25"/>
      <c r="O346" s="25"/>
      <c r="P346" s="25"/>
      <c r="Q346" s="25"/>
      <c r="R346" s="49" t="s">
        <v>1817</v>
      </c>
      <c r="S346" s="305"/>
    </row>
    <row r="347" spans="1:19" ht="42.75" customHeight="1" thickBot="1" x14ac:dyDescent="0.3">
      <c r="A347" s="16" t="s">
        <v>630</v>
      </c>
      <c r="B347" s="42" t="s">
        <v>631</v>
      </c>
      <c r="C347" s="17" t="s">
        <v>32</v>
      </c>
      <c r="D347" s="26">
        <v>100</v>
      </c>
      <c r="E347" s="26">
        <v>100</v>
      </c>
      <c r="F347" s="26"/>
      <c r="G347" s="26">
        <v>100</v>
      </c>
      <c r="H347" s="26">
        <v>100</v>
      </c>
      <c r="I347" s="264">
        <f t="shared" si="21"/>
        <v>0</v>
      </c>
      <c r="J347" s="48" t="s">
        <v>632</v>
      </c>
      <c r="K347" s="19" t="s">
        <v>29</v>
      </c>
      <c r="L347" s="19">
        <v>100</v>
      </c>
      <c r="M347" s="112">
        <v>10</v>
      </c>
      <c r="N347" s="20"/>
      <c r="O347" s="20"/>
      <c r="P347" s="20"/>
      <c r="Q347" s="20"/>
      <c r="R347" s="48" t="s">
        <v>1818</v>
      </c>
      <c r="S347" s="84" t="s">
        <v>1819</v>
      </c>
    </row>
    <row r="348" spans="1:19" ht="51" x14ac:dyDescent="0.25">
      <c r="A348" s="306" t="s">
        <v>633</v>
      </c>
      <c r="B348" s="308" t="s">
        <v>634</v>
      </c>
      <c r="C348" s="17" t="s">
        <v>32</v>
      </c>
      <c r="D348" s="18">
        <f>SUM(D349:D356)+48.5</f>
        <v>48.5</v>
      </c>
      <c r="E348" s="18">
        <f>SUM(E349:E356)+48.5</f>
        <v>48.5</v>
      </c>
      <c r="F348" s="18">
        <f>SUM(F349:F356)+48.4</f>
        <v>48.4</v>
      </c>
      <c r="G348" s="18">
        <f>SUM(G349:G356)+0.1</f>
        <v>0.1</v>
      </c>
      <c r="H348" s="18">
        <f>SUM(H349:H356)+0.1</f>
        <v>0.1</v>
      </c>
      <c r="I348" s="261">
        <f t="shared" si="21"/>
        <v>0.99793814432989691</v>
      </c>
      <c r="J348" s="48" t="s">
        <v>635</v>
      </c>
      <c r="K348" s="19" t="s">
        <v>22</v>
      </c>
      <c r="L348" s="19">
        <v>3</v>
      </c>
      <c r="M348" s="111">
        <v>3</v>
      </c>
      <c r="N348" s="20"/>
      <c r="O348" s="20"/>
      <c r="P348" s="20"/>
      <c r="Q348" s="20"/>
      <c r="R348" s="48" t="s">
        <v>1820</v>
      </c>
      <c r="S348" s="158"/>
    </row>
    <row r="349" spans="1:19" ht="25.5" x14ac:dyDescent="0.25">
      <c r="A349" s="406"/>
      <c r="B349" s="310"/>
      <c r="C349" s="22"/>
      <c r="D349" s="23"/>
      <c r="E349" s="23"/>
      <c r="F349" s="23"/>
      <c r="G349" s="23"/>
      <c r="H349" s="54"/>
      <c r="I349" s="262"/>
      <c r="J349" s="55" t="s">
        <v>636</v>
      </c>
      <c r="K349" s="24" t="s">
        <v>22</v>
      </c>
      <c r="L349" s="24">
        <v>1</v>
      </c>
      <c r="M349" s="103">
        <v>0</v>
      </c>
      <c r="N349" s="25"/>
      <c r="O349" s="25"/>
      <c r="P349" s="25"/>
      <c r="Q349" s="25"/>
      <c r="R349" s="49"/>
      <c r="S349" s="53" t="s">
        <v>1821</v>
      </c>
    </row>
    <row r="350" spans="1:19" ht="131.25" customHeight="1" x14ac:dyDescent="0.25">
      <c r="A350" s="406"/>
      <c r="B350" s="310"/>
      <c r="C350" s="22"/>
      <c r="D350" s="23"/>
      <c r="E350" s="23"/>
      <c r="F350" s="23"/>
      <c r="G350" s="23"/>
      <c r="H350" s="54"/>
      <c r="I350" s="262"/>
      <c r="J350" s="55" t="s">
        <v>637</v>
      </c>
      <c r="K350" s="24" t="s">
        <v>22</v>
      </c>
      <c r="L350" s="24">
        <v>6</v>
      </c>
      <c r="M350" s="104">
        <v>6</v>
      </c>
      <c r="N350" s="25"/>
      <c r="O350" s="25"/>
      <c r="P350" s="25"/>
      <c r="Q350" s="25"/>
      <c r="R350" s="49" t="s">
        <v>1743</v>
      </c>
      <c r="S350" s="143"/>
    </row>
    <row r="351" spans="1:19" ht="25.5" x14ac:dyDescent="0.25">
      <c r="A351" s="406"/>
      <c r="B351" s="310"/>
      <c r="C351" s="22"/>
      <c r="D351" s="23"/>
      <c r="E351" s="23"/>
      <c r="F351" s="23"/>
      <c r="G351" s="23"/>
      <c r="H351" s="54"/>
      <c r="I351" s="262"/>
      <c r="J351" s="55" t="s">
        <v>638</v>
      </c>
      <c r="K351" s="24" t="s">
        <v>22</v>
      </c>
      <c r="L351" s="24">
        <v>1</v>
      </c>
      <c r="M351" s="104">
        <v>1</v>
      </c>
      <c r="N351" s="25"/>
      <c r="O351" s="25"/>
      <c r="P351" s="25"/>
      <c r="Q351" s="25"/>
      <c r="R351" s="49" t="s">
        <v>1822</v>
      </c>
      <c r="S351" s="53"/>
    </row>
    <row r="352" spans="1:19" ht="38.25" x14ac:dyDescent="0.25">
      <c r="A352" s="406"/>
      <c r="B352" s="310"/>
      <c r="C352" s="22"/>
      <c r="D352" s="23"/>
      <c r="E352" s="23"/>
      <c r="F352" s="23"/>
      <c r="G352" s="23"/>
      <c r="H352" s="54"/>
      <c r="I352" s="262"/>
      <c r="J352" s="55" t="s">
        <v>639</v>
      </c>
      <c r="K352" s="24" t="s">
        <v>22</v>
      </c>
      <c r="L352" s="24">
        <v>1</v>
      </c>
      <c r="M352" s="104">
        <v>1</v>
      </c>
      <c r="N352" s="25"/>
      <c r="O352" s="25"/>
      <c r="P352" s="25"/>
      <c r="Q352" s="25"/>
      <c r="R352" s="200"/>
      <c r="S352" s="53"/>
    </row>
    <row r="353" spans="1:23" ht="63.75" x14ac:dyDescent="0.25">
      <c r="A353" s="406"/>
      <c r="B353" s="310"/>
      <c r="C353" s="22"/>
      <c r="D353" s="23"/>
      <c r="E353" s="23"/>
      <c r="F353" s="23"/>
      <c r="G353" s="23"/>
      <c r="H353" s="54"/>
      <c r="I353" s="262"/>
      <c r="J353" s="55" t="s">
        <v>640</v>
      </c>
      <c r="K353" s="24" t="s">
        <v>22</v>
      </c>
      <c r="L353" s="24">
        <v>1</v>
      </c>
      <c r="M353" s="203">
        <v>1</v>
      </c>
      <c r="N353" s="204"/>
      <c r="O353" s="204"/>
      <c r="P353" s="204"/>
      <c r="Q353" s="204"/>
      <c r="R353" s="85" t="s">
        <v>1823</v>
      </c>
      <c r="S353" s="53"/>
    </row>
    <row r="354" spans="1:23" ht="38.25" x14ac:dyDescent="0.25">
      <c r="A354" s="406"/>
      <c r="B354" s="310"/>
      <c r="C354" s="22"/>
      <c r="D354" s="23"/>
      <c r="E354" s="23"/>
      <c r="F354" s="23"/>
      <c r="G354" s="23"/>
      <c r="H354" s="54"/>
      <c r="I354" s="262"/>
      <c r="J354" s="55" t="s">
        <v>641</v>
      </c>
      <c r="K354" s="24" t="s">
        <v>57</v>
      </c>
      <c r="L354" s="24">
        <v>1</v>
      </c>
      <c r="M354" s="104">
        <v>1</v>
      </c>
      <c r="N354" s="25"/>
      <c r="O354" s="25"/>
      <c r="P354" s="25"/>
      <c r="Q354" s="25"/>
      <c r="R354" s="145"/>
      <c r="S354" s="53"/>
    </row>
    <row r="355" spans="1:23" ht="51" x14ac:dyDescent="0.25">
      <c r="A355" s="406"/>
      <c r="B355" s="310"/>
      <c r="C355" s="22"/>
      <c r="D355" s="23"/>
      <c r="E355" s="23"/>
      <c r="F355" s="23"/>
      <c r="G355" s="23"/>
      <c r="H355" s="54"/>
      <c r="I355" s="262"/>
      <c r="J355" s="55" t="s">
        <v>642</v>
      </c>
      <c r="K355" s="24" t="s">
        <v>22</v>
      </c>
      <c r="L355" s="24">
        <v>1</v>
      </c>
      <c r="M355" s="104">
        <v>1</v>
      </c>
      <c r="N355" s="25"/>
      <c r="O355" s="25"/>
      <c r="P355" s="25"/>
      <c r="Q355" s="25"/>
      <c r="R355" s="200"/>
      <c r="S355" s="53"/>
    </row>
    <row r="356" spans="1:23" ht="42.75" customHeight="1" thickBot="1" x14ac:dyDescent="0.3">
      <c r="A356" s="307"/>
      <c r="B356" s="309"/>
      <c r="C356" s="22"/>
      <c r="D356" s="23"/>
      <c r="E356" s="23"/>
      <c r="F356" s="23"/>
      <c r="G356" s="23"/>
      <c r="H356" s="23"/>
      <c r="I356" s="279"/>
      <c r="J356" s="49" t="s">
        <v>643</v>
      </c>
      <c r="K356" s="24" t="s">
        <v>22</v>
      </c>
      <c r="L356" s="24">
        <v>1</v>
      </c>
      <c r="M356" s="104">
        <v>1</v>
      </c>
      <c r="N356" s="25"/>
      <c r="O356" s="25"/>
      <c r="P356" s="25"/>
      <c r="Q356" s="25"/>
      <c r="R356" s="85" t="s">
        <v>1824</v>
      </c>
      <c r="S356" s="53"/>
    </row>
    <row r="357" spans="1:23" ht="54" customHeight="1" thickBot="1" x14ac:dyDescent="0.3">
      <c r="A357" s="16" t="s">
        <v>644</v>
      </c>
      <c r="B357" s="42" t="s">
        <v>645</v>
      </c>
      <c r="C357" s="17" t="s">
        <v>32</v>
      </c>
      <c r="D357" s="26">
        <v>73.5</v>
      </c>
      <c r="E357" s="26">
        <v>73.5</v>
      </c>
      <c r="F357" s="26">
        <v>35.700000000000003</v>
      </c>
      <c r="G357" s="26">
        <v>37.799999999999997</v>
      </c>
      <c r="H357" s="26">
        <v>37.799999999999997</v>
      </c>
      <c r="I357" s="264">
        <f t="shared" si="21"/>
        <v>0.48571428571428577</v>
      </c>
      <c r="J357" s="48" t="s">
        <v>646</v>
      </c>
      <c r="K357" s="19" t="s">
        <v>22</v>
      </c>
      <c r="L357" s="19">
        <v>12</v>
      </c>
      <c r="M357" s="107">
        <v>7</v>
      </c>
      <c r="N357" s="20"/>
      <c r="O357" s="20"/>
      <c r="P357" s="20"/>
      <c r="Q357" s="20"/>
      <c r="R357" s="48" t="s">
        <v>1877</v>
      </c>
      <c r="S357" s="52" t="s">
        <v>1878</v>
      </c>
    </row>
    <row r="358" spans="1:23" ht="32.25" thickBot="1" x14ac:dyDescent="0.3">
      <c r="A358" s="5" t="s">
        <v>647</v>
      </c>
      <c r="B358" s="39" t="s">
        <v>648</v>
      </c>
      <c r="C358" s="6"/>
      <c r="D358" s="7">
        <f>SUM(D359:D359)</f>
        <v>1731.4</v>
      </c>
      <c r="E358" s="7">
        <f>SUM(E359:E359)</f>
        <v>1731.4</v>
      </c>
      <c r="F358" s="7">
        <f>SUM(F359:F359)</f>
        <v>1101.7000000000003</v>
      </c>
      <c r="G358" s="7">
        <f>SUM(G359:G359)</f>
        <v>629.70000000000005</v>
      </c>
      <c r="H358" s="7">
        <f>SUM(H359:H359)</f>
        <v>629.70000000000005</v>
      </c>
      <c r="I358" s="258">
        <f>SUM(F358/E358)</f>
        <v>0.63630587963497764</v>
      </c>
      <c r="J358" s="452"/>
      <c r="K358" s="453"/>
      <c r="L358" s="453"/>
      <c r="M358" s="453"/>
      <c r="N358" s="453"/>
      <c r="O358" s="453"/>
      <c r="P358" s="453"/>
      <c r="Q358" s="453"/>
      <c r="R358" s="453"/>
      <c r="S358" s="454"/>
      <c r="U358" s="240"/>
      <c r="V358" s="241" t="s">
        <v>1</v>
      </c>
      <c r="W358" s="251" t="s">
        <v>1940</v>
      </c>
    </row>
    <row r="359" spans="1:23" ht="64.5" thickBot="1" x14ac:dyDescent="0.3">
      <c r="A359" s="8" t="s">
        <v>649</v>
      </c>
      <c r="B359" s="40" t="s">
        <v>650</v>
      </c>
      <c r="C359" s="9"/>
      <c r="D359" s="10">
        <f>D360+D368+D377</f>
        <v>1731.4</v>
      </c>
      <c r="E359" s="10">
        <f>E360+E368+E377</f>
        <v>1731.4</v>
      </c>
      <c r="F359" s="10">
        <f>F360+F368+F377</f>
        <v>1101.7000000000003</v>
      </c>
      <c r="G359" s="10">
        <f>G360+G368+G377</f>
        <v>629.70000000000005</v>
      </c>
      <c r="H359" s="10">
        <f>H360+H368+H377</f>
        <v>629.70000000000005</v>
      </c>
      <c r="I359" s="259">
        <f>SUM(F359/E359)</f>
        <v>0.63630587963497764</v>
      </c>
      <c r="J359" s="47" t="s">
        <v>651</v>
      </c>
      <c r="K359" s="11" t="s">
        <v>29</v>
      </c>
      <c r="L359" s="11">
        <v>90</v>
      </c>
      <c r="M359" s="11">
        <v>90</v>
      </c>
      <c r="N359" s="12"/>
      <c r="O359" s="12"/>
      <c r="P359" s="12"/>
      <c r="Q359" s="12"/>
      <c r="R359" s="370"/>
      <c r="S359" s="371"/>
      <c r="U359" s="242"/>
      <c r="V359" s="243" t="s">
        <v>1930</v>
      </c>
      <c r="W359" s="244">
        <v>5</v>
      </c>
    </row>
    <row r="360" spans="1:23" ht="64.5" thickBot="1" x14ac:dyDescent="0.3">
      <c r="A360" s="13" t="s">
        <v>652</v>
      </c>
      <c r="B360" s="41" t="s">
        <v>653</v>
      </c>
      <c r="C360" s="14"/>
      <c r="D360" s="15">
        <f>D361+D364+D365</f>
        <v>68.400000000000006</v>
      </c>
      <c r="E360" s="15">
        <f>E361+E364+E365</f>
        <v>68.400000000000006</v>
      </c>
      <c r="F360" s="15">
        <f>F361+F364+F365</f>
        <v>25.4</v>
      </c>
      <c r="G360" s="15">
        <f>G361+G364+G365</f>
        <v>43</v>
      </c>
      <c r="H360" s="15">
        <f>H361+H364+H365</f>
        <v>43</v>
      </c>
      <c r="I360" s="260">
        <f>SUM(F360/E360)</f>
        <v>0.37134502923976603</v>
      </c>
      <c r="J360" s="329"/>
      <c r="K360" s="330"/>
      <c r="L360" s="330"/>
      <c r="M360" s="330"/>
      <c r="N360" s="330"/>
      <c r="O360" s="330"/>
      <c r="P360" s="330"/>
      <c r="Q360" s="330"/>
      <c r="R360" s="330"/>
      <c r="S360" s="331"/>
      <c r="U360" s="249"/>
      <c r="V360" s="243" t="s">
        <v>1931</v>
      </c>
      <c r="W360" s="244">
        <v>2</v>
      </c>
    </row>
    <row r="361" spans="1:23" ht="43.5" customHeight="1" x14ac:dyDescent="0.25">
      <c r="A361" s="306" t="s">
        <v>654</v>
      </c>
      <c r="B361" s="308" t="s">
        <v>655</v>
      </c>
      <c r="C361" s="17"/>
      <c r="D361" s="18">
        <f>SUM(D362:D363)</f>
        <v>13</v>
      </c>
      <c r="E361" s="18">
        <f>SUM(E362:E363)</f>
        <v>13</v>
      </c>
      <c r="F361" s="18">
        <f>SUM(F362:F363)</f>
        <v>10.7</v>
      </c>
      <c r="G361" s="18">
        <f>SUM(G362:G363)</f>
        <v>2.2999999999999998</v>
      </c>
      <c r="H361" s="18">
        <f>SUM(H362:H363)</f>
        <v>2.2999999999999998</v>
      </c>
      <c r="I361" s="261">
        <f t="shared" ref="I361:I367" si="22">SUM(F361/E361)</f>
        <v>0.82307692307692304</v>
      </c>
      <c r="J361" s="314" t="s">
        <v>656</v>
      </c>
      <c r="K361" s="323" t="s">
        <v>22</v>
      </c>
      <c r="L361" s="323">
        <v>100</v>
      </c>
      <c r="M361" s="354">
        <v>83</v>
      </c>
      <c r="N361" s="20"/>
      <c r="O361" s="20"/>
      <c r="P361" s="20"/>
      <c r="Q361" s="20"/>
      <c r="R361" s="308" t="s">
        <v>1825</v>
      </c>
      <c r="S361" s="326" t="s">
        <v>1826</v>
      </c>
      <c r="U361" s="245"/>
      <c r="V361" s="243" t="s">
        <v>1932</v>
      </c>
      <c r="W361" s="246">
        <v>4</v>
      </c>
    </row>
    <row r="362" spans="1:23" ht="31.5" x14ac:dyDescent="0.25">
      <c r="A362" s="406"/>
      <c r="B362" s="310"/>
      <c r="C362" s="22" t="s">
        <v>30</v>
      </c>
      <c r="D362" s="23">
        <v>8</v>
      </c>
      <c r="E362" s="23">
        <v>8</v>
      </c>
      <c r="F362" s="23">
        <v>8</v>
      </c>
      <c r="G362" s="23"/>
      <c r="H362" s="54"/>
      <c r="I362" s="262">
        <f t="shared" si="22"/>
        <v>1</v>
      </c>
      <c r="J362" s="315"/>
      <c r="K362" s="324"/>
      <c r="L362" s="324"/>
      <c r="M362" s="355"/>
      <c r="N362" s="25"/>
      <c r="O362" s="25"/>
      <c r="P362" s="25"/>
      <c r="Q362" s="25"/>
      <c r="R362" s="310"/>
      <c r="S362" s="332"/>
      <c r="U362" s="250"/>
      <c r="V362" s="243" t="s">
        <v>1933</v>
      </c>
      <c r="W362" s="246">
        <v>1</v>
      </c>
    </row>
    <row r="363" spans="1:23" ht="16.5" thickBot="1" x14ac:dyDescent="0.3">
      <c r="A363" s="307"/>
      <c r="B363" s="309"/>
      <c r="C363" s="22" t="s">
        <v>32</v>
      </c>
      <c r="D363" s="23">
        <v>5</v>
      </c>
      <c r="E363" s="23">
        <v>5</v>
      </c>
      <c r="F363" s="23">
        <v>2.7</v>
      </c>
      <c r="G363" s="23">
        <v>2.2999999999999998</v>
      </c>
      <c r="H363" s="23">
        <v>2.2999999999999998</v>
      </c>
      <c r="I363" s="279">
        <f t="shared" si="22"/>
        <v>0.54</v>
      </c>
      <c r="J363" s="316"/>
      <c r="K363" s="325"/>
      <c r="L363" s="325"/>
      <c r="M363" s="356"/>
      <c r="N363" s="25"/>
      <c r="O363" s="25"/>
      <c r="P363" s="25"/>
      <c r="Q363" s="25"/>
      <c r="R363" s="309"/>
      <c r="S363" s="327"/>
      <c r="U363" s="247"/>
      <c r="V363" s="243" t="s">
        <v>1934</v>
      </c>
      <c r="W363" s="246"/>
    </row>
    <row r="364" spans="1:23" ht="31.5" customHeight="1" thickBot="1" x14ac:dyDescent="0.3">
      <c r="A364" s="68" t="s">
        <v>657</v>
      </c>
      <c r="B364" s="48" t="s">
        <v>658</v>
      </c>
      <c r="C364" s="17" t="s">
        <v>32</v>
      </c>
      <c r="D364" s="26">
        <v>15</v>
      </c>
      <c r="E364" s="26">
        <v>15</v>
      </c>
      <c r="F364" s="26">
        <v>13.8</v>
      </c>
      <c r="G364" s="26">
        <v>1.2</v>
      </c>
      <c r="H364" s="26">
        <v>1.2</v>
      </c>
      <c r="I364" s="264">
        <f t="shared" si="22"/>
        <v>0.92</v>
      </c>
      <c r="J364" s="48" t="s">
        <v>659</v>
      </c>
      <c r="K364" s="19" t="s">
        <v>29</v>
      </c>
      <c r="L364" s="19">
        <v>100</v>
      </c>
      <c r="M364" s="111">
        <v>100</v>
      </c>
      <c r="N364" s="20"/>
      <c r="O364" s="20"/>
      <c r="P364" s="20"/>
      <c r="Q364" s="20"/>
      <c r="R364" s="147"/>
      <c r="S364" s="120"/>
      <c r="U364" s="240"/>
      <c r="V364" s="248" t="s">
        <v>1935</v>
      </c>
      <c r="W364" s="246">
        <f>+SUM(W359:W363)</f>
        <v>12</v>
      </c>
    </row>
    <row r="365" spans="1:23" ht="52.9" customHeight="1" x14ac:dyDescent="0.25">
      <c r="A365" s="306" t="s">
        <v>660</v>
      </c>
      <c r="B365" s="308" t="s">
        <v>661</v>
      </c>
      <c r="C365" s="17"/>
      <c r="D365" s="18">
        <f>SUM(D366:D367)</f>
        <v>40.4</v>
      </c>
      <c r="E365" s="18">
        <f>SUM(E366:E367)</f>
        <v>40.4</v>
      </c>
      <c r="F365" s="18">
        <f>SUM(F366:F367)</f>
        <v>0.9</v>
      </c>
      <c r="G365" s="18">
        <f>SUM(G366:G367)</f>
        <v>39.5</v>
      </c>
      <c r="H365" s="18">
        <f>SUM(H366:H367)</f>
        <v>39.5</v>
      </c>
      <c r="I365" s="261">
        <f t="shared" si="22"/>
        <v>2.227722772277228E-2</v>
      </c>
      <c r="J365" s="314" t="s">
        <v>662</v>
      </c>
      <c r="K365" s="323" t="s">
        <v>22</v>
      </c>
      <c r="L365" s="323">
        <v>5</v>
      </c>
      <c r="M365" s="367">
        <v>2</v>
      </c>
      <c r="N365" s="20"/>
      <c r="O365" s="20"/>
      <c r="P365" s="20"/>
      <c r="Q365" s="20"/>
      <c r="R365" s="308" t="s">
        <v>1827</v>
      </c>
      <c r="S365" s="364" t="s">
        <v>1828</v>
      </c>
    </row>
    <row r="366" spans="1:23" x14ac:dyDescent="0.25">
      <c r="A366" s="406"/>
      <c r="B366" s="310"/>
      <c r="C366" s="22" t="s">
        <v>30</v>
      </c>
      <c r="D366" s="23">
        <v>0.9</v>
      </c>
      <c r="E366" s="23">
        <v>0.9</v>
      </c>
      <c r="F366" s="23">
        <v>0.9</v>
      </c>
      <c r="G366" s="23"/>
      <c r="H366" s="54"/>
      <c r="I366" s="262">
        <f t="shared" si="22"/>
        <v>1</v>
      </c>
      <c r="J366" s="315"/>
      <c r="K366" s="324"/>
      <c r="L366" s="324"/>
      <c r="M366" s="368"/>
      <c r="N366" s="25"/>
      <c r="O366" s="25"/>
      <c r="P366" s="25"/>
      <c r="Q366" s="25"/>
      <c r="R366" s="310"/>
      <c r="S366" s="365"/>
    </row>
    <row r="367" spans="1:23" ht="15.75" thickBot="1" x14ac:dyDescent="0.3">
      <c r="A367" s="307"/>
      <c r="B367" s="309"/>
      <c r="C367" s="22" t="s">
        <v>32</v>
      </c>
      <c r="D367" s="23">
        <v>39.5</v>
      </c>
      <c r="E367" s="23">
        <v>39.5</v>
      </c>
      <c r="F367" s="23"/>
      <c r="G367" s="23">
        <v>39.5</v>
      </c>
      <c r="H367" s="23">
        <v>39.5</v>
      </c>
      <c r="I367" s="279">
        <f t="shared" si="22"/>
        <v>0</v>
      </c>
      <c r="J367" s="316"/>
      <c r="K367" s="325"/>
      <c r="L367" s="325"/>
      <c r="M367" s="369"/>
      <c r="N367" s="25"/>
      <c r="O367" s="25"/>
      <c r="P367" s="25"/>
      <c r="Q367" s="25"/>
      <c r="R367" s="309"/>
      <c r="S367" s="366"/>
    </row>
    <row r="368" spans="1:23" ht="64.5" thickBot="1" x14ac:dyDescent="0.3">
      <c r="A368" s="13" t="s">
        <v>663</v>
      </c>
      <c r="B368" s="41" t="s">
        <v>664</v>
      </c>
      <c r="C368" s="14"/>
      <c r="D368" s="15">
        <f>D369+D371+D372+D373+D376</f>
        <v>973.6</v>
      </c>
      <c r="E368" s="15">
        <f>E369+E371+E372+E373+E376</f>
        <v>973.6</v>
      </c>
      <c r="F368" s="15">
        <f>F369+F371+F372+F373+F376</f>
        <v>768.10000000000014</v>
      </c>
      <c r="G368" s="15">
        <f>G369+G371+G372+G373+G376</f>
        <v>205.5</v>
      </c>
      <c r="H368" s="15">
        <f>H369+H371+H372+H373+H376</f>
        <v>205.5</v>
      </c>
      <c r="I368" s="260">
        <f>SUM(F368/E368)</f>
        <v>0.78892769104354987</v>
      </c>
      <c r="J368" s="329"/>
      <c r="K368" s="330"/>
      <c r="L368" s="330"/>
      <c r="M368" s="330"/>
      <c r="N368" s="330"/>
      <c r="O368" s="330"/>
      <c r="P368" s="330"/>
      <c r="Q368" s="330"/>
      <c r="R368" s="330"/>
      <c r="S368" s="331"/>
    </row>
    <row r="369" spans="1:20" ht="69" customHeight="1" x14ac:dyDescent="0.25">
      <c r="A369" s="306" t="s">
        <v>665</v>
      </c>
      <c r="B369" s="308" t="s">
        <v>666</v>
      </c>
      <c r="C369" s="17" t="s">
        <v>32</v>
      </c>
      <c r="D369" s="18">
        <f>SUM(D370:D370)+584.5</f>
        <v>584.5</v>
      </c>
      <c r="E369" s="18">
        <f>SUM(E370:E370)+584.5</f>
        <v>584.5</v>
      </c>
      <c r="F369" s="18">
        <f>SUM(F370:F370)+420.3</f>
        <v>420.3</v>
      </c>
      <c r="G369" s="18">
        <f>SUM(G370:G370)+164.2</f>
        <v>164.2</v>
      </c>
      <c r="H369" s="18">
        <f>SUM(H370:H370)+164.2</f>
        <v>164.2</v>
      </c>
      <c r="I369" s="264">
        <f t="shared" ref="I369:I376" si="23">SUM(F369/E369)</f>
        <v>0.71907613344739096</v>
      </c>
      <c r="J369" s="48" t="s">
        <v>667</v>
      </c>
      <c r="K369" s="19" t="s">
        <v>29</v>
      </c>
      <c r="L369" s="19">
        <v>100</v>
      </c>
      <c r="M369" s="111">
        <v>100</v>
      </c>
      <c r="N369" s="20"/>
      <c r="O369" s="20"/>
      <c r="P369" s="20"/>
      <c r="Q369" s="20"/>
      <c r="R369" s="48" t="s">
        <v>1830</v>
      </c>
      <c r="S369" s="84" t="s">
        <v>1829</v>
      </c>
    </row>
    <row r="370" spans="1:20" ht="26.25" thickBot="1" x14ac:dyDescent="0.3">
      <c r="A370" s="307"/>
      <c r="B370" s="309"/>
      <c r="C370" s="22"/>
      <c r="D370" s="23"/>
      <c r="E370" s="23"/>
      <c r="F370" s="23"/>
      <c r="G370" s="23"/>
      <c r="H370" s="23"/>
      <c r="I370" s="279"/>
      <c r="J370" s="49" t="s">
        <v>668</v>
      </c>
      <c r="K370" s="24" t="s">
        <v>22</v>
      </c>
      <c r="L370" s="24">
        <v>3</v>
      </c>
      <c r="M370" s="103">
        <v>0</v>
      </c>
      <c r="N370" s="25"/>
      <c r="O370" s="25"/>
      <c r="P370" s="25"/>
      <c r="Q370" s="25"/>
      <c r="R370" s="49"/>
      <c r="S370" s="53" t="s">
        <v>669</v>
      </c>
    </row>
    <row r="371" spans="1:20" ht="51.75" thickBot="1" x14ac:dyDescent="0.3">
      <c r="A371" s="16" t="s">
        <v>670</v>
      </c>
      <c r="B371" s="42" t="s">
        <v>671</v>
      </c>
      <c r="C371" s="17" t="s">
        <v>32</v>
      </c>
      <c r="D371" s="26">
        <v>10.5</v>
      </c>
      <c r="E371" s="26">
        <v>10.5</v>
      </c>
      <c r="F371" s="26">
        <v>8.6</v>
      </c>
      <c r="G371" s="26">
        <v>1.9</v>
      </c>
      <c r="H371" s="26">
        <v>1.9</v>
      </c>
      <c r="I371" s="264">
        <f t="shared" si="23"/>
        <v>0.81904761904761902</v>
      </c>
      <c r="J371" s="48" t="s">
        <v>672</v>
      </c>
      <c r="K371" s="19" t="s">
        <v>29</v>
      </c>
      <c r="L371" s="19">
        <v>100</v>
      </c>
      <c r="M371" s="111">
        <v>100</v>
      </c>
      <c r="N371" s="20"/>
      <c r="O371" s="20"/>
      <c r="P371" s="20"/>
      <c r="Q371" s="20"/>
      <c r="R371" s="147"/>
      <c r="S371" s="120"/>
    </row>
    <row r="372" spans="1:20" ht="51.75" thickBot="1" x14ac:dyDescent="0.3">
      <c r="A372" s="16" t="s">
        <v>673</v>
      </c>
      <c r="B372" s="42" t="s">
        <v>674</v>
      </c>
      <c r="C372" s="17" t="s">
        <v>32</v>
      </c>
      <c r="D372" s="26"/>
      <c r="E372" s="26"/>
      <c r="F372" s="26"/>
      <c r="G372" s="26"/>
      <c r="H372" s="26"/>
      <c r="I372" s="264"/>
      <c r="J372" s="48" t="s">
        <v>675</v>
      </c>
      <c r="K372" s="19" t="s">
        <v>22</v>
      </c>
      <c r="L372" s="19">
        <v>5</v>
      </c>
      <c r="M372" s="108">
        <v>6</v>
      </c>
      <c r="N372" s="20"/>
      <c r="O372" s="20"/>
      <c r="P372" s="20"/>
      <c r="Q372" s="20"/>
      <c r="R372" s="48" t="s">
        <v>676</v>
      </c>
      <c r="S372" s="52"/>
    </row>
    <row r="373" spans="1:20" ht="50.25" customHeight="1" x14ac:dyDescent="0.25">
      <c r="A373" s="306" t="s">
        <v>677</v>
      </c>
      <c r="B373" s="308" t="s">
        <v>678</v>
      </c>
      <c r="C373" s="17"/>
      <c r="D373" s="18">
        <f>SUM(D374:D375)</f>
        <v>376.1</v>
      </c>
      <c r="E373" s="18">
        <f>SUM(E374:E375)</f>
        <v>376.1</v>
      </c>
      <c r="F373" s="18">
        <f>SUM(F374:F375)</f>
        <v>338</v>
      </c>
      <c r="G373" s="18">
        <f>SUM(G374:G375)</f>
        <v>38.1</v>
      </c>
      <c r="H373" s="18">
        <f>SUM(H374:H375)</f>
        <v>38.1</v>
      </c>
      <c r="I373" s="261">
        <f t="shared" si="23"/>
        <v>0.8986971550119649</v>
      </c>
      <c r="J373" s="314" t="s">
        <v>679</v>
      </c>
      <c r="K373" s="323" t="s">
        <v>29</v>
      </c>
      <c r="L373" s="323">
        <v>100</v>
      </c>
      <c r="M373" s="347">
        <v>100</v>
      </c>
      <c r="N373" s="20"/>
      <c r="O373" s="20"/>
      <c r="P373" s="20"/>
      <c r="Q373" s="20"/>
      <c r="R373" s="308" t="s">
        <v>1831</v>
      </c>
      <c r="S373" s="364" t="s">
        <v>1832</v>
      </c>
    </row>
    <row r="374" spans="1:20" x14ac:dyDescent="0.25">
      <c r="A374" s="406"/>
      <c r="B374" s="310"/>
      <c r="C374" s="22" t="s">
        <v>30</v>
      </c>
      <c r="D374" s="23">
        <v>48.1</v>
      </c>
      <c r="E374" s="23">
        <v>48.1</v>
      </c>
      <c r="F374" s="23">
        <v>48.1</v>
      </c>
      <c r="G374" s="23"/>
      <c r="H374" s="54"/>
      <c r="I374" s="262">
        <f t="shared" si="23"/>
        <v>1</v>
      </c>
      <c r="J374" s="315"/>
      <c r="K374" s="324"/>
      <c r="L374" s="324"/>
      <c r="M374" s="348"/>
      <c r="N374" s="25"/>
      <c r="O374" s="25"/>
      <c r="P374" s="25"/>
      <c r="Q374" s="25"/>
      <c r="R374" s="310"/>
      <c r="S374" s="365"/>
    </row>
    <row r="375" spans="1:20" ht="37.15" customHeight="1" thickBot="1" x14ac:dyDescent="0.3">
      <c r="A375" s="307"/>
      <c r="B375" s="309"/>
      <c r="C375" s="22" t="s">
        <v>32</v>
      </c>
      <c r="D375" s="23">
        <v>328</v>
      </c>
      <c r="E375" s="23">
        <v>328</v>
      </c>
      <c r="F375" s="23">
        <v>289.89999999999998</v>
      </c>
      <c r="G375" s="23">
        <v>38.1</v>
      </c>
      <c r="H375" s="23">
        <v>38.1</v>
      </c>
      <c r="I375" s="279">
        <f t="shared" si="23"/>
        <v>0.8838414634146341</v>
      </c>
      <c r="J375" s="316"/>
      <c r="K375" s="325"/>
      <c r="L375" s="325"/>
      <c r="M375" s="349"/>
      <c r="N375" s="25"/>
      <c r="O375" s="25"/>
      <c r="P375" s="25"/>
      <c r="Q375" s="25"/>
      <c r="R375" s="309"/>
      <c r="S375" s="366"/>
    </row>
    <row r="376" spans="1:20" ht="39" thickBot="1" x14ac:dyDescent="0.3">
      <c r="A376" s="16" t="s">
        <v>680</v>
      </c>
      <c r="B376" s="42" t="s">
        <v>681</v>
      </c>
      <c r="C376" s="17" t="s">
        <v>32</v>
      </c>
      <c r="D376" s="26">
        <v>2.5</v>
      </c>
      <c r="E376" s="26">
        <v>2.5</v>
      </c>
      <c r="F376" s="26">
        <v>1.2</v>
      </c>
      <c r="G376" s="26">
        <v>1.3</v>
      </c>
      <c r="H376" s="26">
        <v>1.3</v>
      </c>
      <c r="I376" s="264">
        <f t="shared" si="23"/>
        <v>0.48</v>
      </c>
      <c r="J376" s="48" t="s">
        <v>682</v>
      </c>
      <c r="K376" s="19" t="s">
        <v>29</v>
      </c>
      <c r="L376" s="19">
        <v>100</v>
      </c>
      <c r="M376" s="111">
        <v>100</v>
      </c>
      <c r="N376" s="20"/>
      <c r="O376" s="20"/>
      <c r="P376" s="20"/>
      <c r="Q376" s="20"/>
      <c r="R376" s="48" t="s">
        <v>1645</v>
      </c>
      <c r="S376" s="120"/>
    </row>
    <row r="377" spans="1:20" ht="39" thickBot="1" x14ac:dyDescent="0.3">
      <c r="A377" s="13" t="s">
        <v>683</v>
      </c>
      <c r="B377" s="41" t="s">
        <v>684</v>
      </c>
      <c r="C377" s="14"/>
      <c r="D377" s="15">
        <f>D378+D379+D388+D391</f>
        <v>689.40000000000009</v>
      </c>
      <c r="E377" s="15">
        <f>E378+E379+E388+E391</f>
        <v>689.40000000000009</v>
      </c>
      <c r="F377" s="15">
        <f>F378+F379+F388+F391+0.1</f>
        <v>308.20000000000005</v>
      </c>
      <c r="G377" s="15">
        <f>G378+G379+G388+G391</f>
        <v>381.2</v>
      </c>
      <c r="H377" s="15">
        <f>H378+H379+H388+H391</f>
        <v>381.2</v>
      </c>
      <c r="I377" s="260">
        <f>SUM(F377/E377)</f>
        <v>0.44705541050188569</v>
      </c>
      <c r="J377" s="329"/>
      <c r="K377" s="330"/>
      <c r="L377" s="330"/>
      <c r="M377" s="330"/>
      <c r="N377" s="330"/>
      <c r="O377" s="330"/>
      <c r="P377" s="330"/>
      <c r="Q377" s="330"/>
      <c r="R377" s="330"/>
      <c r="S377" s="331"/>
    </row>
    <row r="378" spans="1:20" ht="53.25" customHeight="1" thickBot="1" x14ac:dyDescent="0.3">
      <c r="A378" s="16" t="s">
        <v>685</v>
      </c>
      <c r="B378" s="42" t="s">
        <v>686</v>
      </c>
      <c r="C378" s="17" t="s">
        <v>30</v>
      </c>
      <c r="D378" s="26">
        <v>160.9</v>
      </c>
      <c r="E378" s="26">
        <v>160.9</v>
      </c>
      <c r="F378" s="26">
        <v>43.2</v>
      </c>
      <c r="G378" s="26">
        <v>117.7</v>
      </c>
      <c r="H378" s="26">
        <v>117.7</v>
      </c>
      <c r="I378" s="264">
        <f t="shared" ref="I378:I391" si="24">SUM(F378/E378)</f>
        <v>0.26848974518334368</v>
      </c>
      <c r="J378" s="48" t="s">
        <v>687</v>
      </c>
      <c r="K378" s="19" t="s">
        <v>57</v>
      </c>
      <c r="L378" s="19">
        <v>3</v>
      </c>
      <c r="M378" s="112">
        <v>1</v>
      </c>
      <c r="N378" s="20"/>
      <c r="O378" s="20"/>
      <c r="P378" s="20"/>
      <c r="Q378" s="20"/>
      <c r="R378" s="48" t="s">
        <v>1701</v>
      </c>
      <c r="S378" s="52" t="s">
        <v>1833</v>
      </c>
    </row>
    <row r="379" spans="1:20" ht="80.25" customHeight="1" x14ac:dyDescent="0.25">
      <c r="A379" s="306" t="s">
        <v>688</v>
      </c>
      <c r="B379" s="308" t="s">
        <v>689</v>
      </c>
      <c r="C379" s="17"/>
      <c r="D379" s="18">
        <f>D380+D381+D385</f>
        <v>453.7</v>
      </c>
      <c r="E379" s="18">
        <f>E380+E381+E385</f>
        <v>453.7</v>
      </c>
      <c r="F379" s="18">
        <f>F380+F381+F385</f>
        <v>206.8</v>
      </c>
      <c r="G379" s="18">
        <f>G380+G381+G385</f>
        <v>246.8</v>
      </c>
      <c r="H379" s="18">
        <f>H380+H381+H385</f>
        <v>246.8</v>
      </c>
      <c r="I379" s="264">
        <f t="shared" si="24"/>
        <v>0.45580780251267361</v>
      </c>
      <c r="J379" s="48" t="s">
        <v>687</v>
      </c>
      <c r="K379" s="19" t="s">
        <v>57</v>
      </c>
      <c r="L379" s="19">
        <v>3</v>
      </c>
      <c r="M379" s="106">
        <v>0</v>
      </c>
      <c r="N379" s="20"/>
      <c r="O379" s="20"/>
      <c r="P379" s="20"/>
      <c r="Q379" s="20"/>
      <c r="R379" s="48" t="s">
        <v>1835</v>
      </c>
      <c r="S379" s="52" t="s">
        <v>1834</v>
      </c>
      <c r="T379" s="255"/>
    </row>
    <row r="380" spans="1:20" ht="59.45" customHeight="1" thickBot="1" x14ac:dyDescent="0.3">
      <c r="A380" s="307"/>
      <c r="B380" s="309"/>
      <c r="C380" s="22"/>
      <c r="D380" s="23"/>
      <c r="E380" s="23"/>
      <c r="F380" s="23"/>
      <c r="G380" s="23"/>
      <c r="H380" s="23"/>
      <c r="I380" s="279"/>
      <c r="J380" s="49" t="s">
        <v>690</v>
      </c>
      <c r="K380" s="24" t="s">
        <v>22</v>
      </c>
      <c r="L380" s="24">
        <v>1</v>
      </c>
      <c r="M380" s="104">
        <v>1</v>
      </c>
      <c r="N380" s="25"/>
      <c r="O380" s="25"/>
      <c r="P380" s="25"/>
      <c r="Q380" s="25"/>
      <c r="R380" s="145"/>
      <c r="S380" s="143"/>
      <c r="T380" s="255"/>
    </row>
    <row r="381" spans="1:20" ht="21" customHeight="1" x14ac:dyDescent="0.25">
      <c r="A381" s="306" t="s">
        <v>691</v>
      </c>
      <c r="B381" s="308" t="s">
        <v>692</v>
      </c>
      <c r="C381" s="17"/>
      <c r="D381" s="18">
        <f>SUM(D382:D384)</f>
        <v>203.7</v>
      </c>
      <c r="E381" s="18">
        <f>SUM(E382:E384)</f>
        <v>203.7</v>
      </c>
      <c r="F381" s="18">
        <f>SUM(F382:F384)</f>
        <v>199.10000000000002</v>
      </c>
      <c r="G381" s="18">
        <f>SUM(G382:G384)</f>
        <v>4.5</v>
      </c>
      <c r="H381" s="18">
        <f>SUM(H382:H384)</f>
        <v>4.5</v>
      </c>
      <c r="I381" s="261">
        <f t="shared" si="24"/>
        <v>0.97741777123220441</v>
      </c>
      <c r="J381" s="314" t="s">
        <v>690</v>
      </c>
      <c r="K381" s="323" t="s">
        <v>22</v>
      </c>
      <c r="L381" s="323">
        <v>1</v>
      </c>
      <c r="M381" s="347">
        <v>1</v>
      </c>
      <c r="N381" s="20"/>
      <c r="O381" s="20"/>
      <c r="P381" s="20"/>
      <c r="Q381" s="20"/>
      <c r="R381" s="320"/>
      <c r="S381" s="317"/>
      <c r="T381" s="255"/>
    </row>
    <row r="382" spans="1:20" x14ac:dyDescent="0.25">
      <c r="A382" s="406"/>
      <c r="B382" s="310"/>
      <c r="C382" s="22" t="s">
        <v>30</v>
      </c>
      <c r="D382" s="23">
        <v>52.3</v>
      </c>
      <c r="E382" s="23">
        <v>52.3</v>
      </c>
      <c r="F382" s="23">
        <v>47.8</v>
      </c>
      <c r="G382" s="23">
        <v>4.4000000000000004</v>
      </c>
      <c r="H382" s="54">
        <v>4.4000000000000004</v>
      </c>
      <c r="I382" s="262">
        <f t="shared" si="24"/>
        <v>0.91395793499043976</v>
      </c>
      <c r="J382" s="315"/>
      <c r="K382" s="324"/>
      <c r="L382" s="324"/>
      <c r="M382" s="348"/>
      <c r="N382" s="25"/>
      <c r="O382" s="25"/>
      <c r="P382" s="25"/>
      <c r="Q382" s="25"/>
      <c r="R382" s="321"/>
      <c r="S382" s="318"/>
      <c r="T382" s="255"/>
    </row>
    <row r="383" spans="1:20" x14ac:dyDescent="0.25">
      <c r="A383" s="406"/>
      <c r="B383" s="310"/>
      <c r="C383" s="22" t="s">
        <v>481</v>
      </c>
      <c r="D383" s="23">
        <v>130.9</v>
      </c>
      <c r="E383" s="23">
        <v>130.9</v>
      </c>
      <c r="F383" s="23">
        <v>130.80000000000001</v>
      </c>
      <c r="G383" s="23">
        <v>0.1</v>
      </c>
      <c r="H383" s="54">
        <v>0.1</v>
      </c>
      <c r="I383" s="262">
        <f t="shared" si="24"/>
        <v>0.99923605805958748</v>
      </c>
      <c r="J383" s="315"/>
      <c r="K383" s="324"/>
      <c r="L383" s="324"/>
      <c r="M383" s="348"/>
      <c r="N383" s="25"/>
      <c r="O383" s="25"/>
      <c r="P383" s="25"/>
      <c r="Q383" s="25"/>
      <c r="R383" s="321"/>
      <c r="S383" s="318"/>
      <c r="T383" s="255"/>
    </row>
    <row r="384" spans="1:20" ht="15.75" thickBot="1" x14ac:dyDescent="0.3">
      <c r="A384" s="307"/>
      <c r="B384" s="309"/>
      <c r="C384" s="22" t="s">
        <v>55</v>
      </c>
      <c r="D384" s="23">
        <v>20.5</v>
      </c>
      <c r="E384" s="23">
        <v>20.5</v>
      </c>
      <c r="F384" s="23">
        <v>20.5</v>
      </c>
      <c r="G384" s="23"/>
      <c r="H384" s="23"/>
      <c r="I384" s="279">
        <f t="shared" si="24"/>
        <v>1</v>
      </c>
      <c r="J384" s="316"/>
      <c r="K384" s="325"/>
      <c r="L384" s="325"/>
      <c r="M384" s="349"/>
      <c r="N384" s="25"/>
      <c r="O384" s="25"/>
      <c r="P384" s="25"/>
      <c r="Q384" s="25"/>
      <c r="R384" s="322"/>
      <c r="S384" s="319"/>
      <c r="T384" s="255"/>
    </row>
    <row r="385" spans="1:23" ht="51" customHeight="1" x14ac:dyDescent="0.25">
      <c r="A385" s="306" t="s">
        <v>693</v>
      </c>
      <c r="B385" s="308" t="s">
        <v>694</v>
      </c>
      <c r="C385" s="17"/>
      <c r="D385" s="18">
        <f>SUM(D386:D387)</f>
        <v>250</v>
      </c>
      <c r="E385" s="18">
        <f>SUM(E386:E387)</f>
        <v>250</v>
      </c>
      <c r="F385" s="18">
        <f>SUM(F386:F387)</f>
        <v>7.7</v>
      </c>
      <c r="G385" s="18">
        <f>SUM(G386:G387)</f>
        <v>242.3</v>
      </c>
      <c r="H385" s="18">
        <f>SUM(H386:H387)</f>
        <v>242.3</v>
      </c>
      <c r="I385" s="261">
        <f t="shared" si="24"/>
        <v>3.0800000000000001E-2</v>
      </c>
      <c r="J385" s="314" t="s">
        <v>687</v>
      </c>
      <c r="K385" s="323" t="s">
        <v>57</v>
      </c>
      <c r="L385" s="323">
        <v>3</v>
      </c>
      <c r="M385" s="380">
        <v>0</v>
      </c>
      <c r="N385" s="20"/>
      <c r="O385" s="20"/>
      <c r="P385" s="20"/>
      <c r="Q385" s="20"/>
      <c r="R385" s="308" t="s">
        <v>1836</v>
      </c>
      <c r="S385" s="326" t="s">
        <v>1834</v>
      </c>
      <c r="T385" s="255"/>
    </row>
    <row r="386" spans="1:23" x14ac:dyDescent="0.25">
      <c r="A386" s="406"/>
      <c r="B386" s="310"/>
      <c r="C386" s="22" t="s">
        <v>32</v>
      </c>
      <c r="D386" s="23">
        <v>37.5</v>
      </c>
      <c r="E386" s="23">
        <v>37.5</v>
      </c>
      <c r="F386" s="23"/>
      <c r="G386" s="23">
        <v>37.5</v>
      </c>
      <c r="H386" s="54">
        <v>37.5</v>
      </c>
      <c r="I386" s="262">
        <f t="shared" si="24"/>
        <v>0</v>
      </c>
      <c r="J386" s="315"/>
      <c r="K386" s="324"/>
      <c r="L386" s="324"/>
      <c r="M386" s="381"/>
      <c r="N386" s="25"/>
      <c r="O386" s="25"/>
      <c r="P386" s="25"/>
      <c r="Q386" s="25"/>
      <c r="R386" s="310"/>
      <c r="S386" s="332"/>
    </row>
    <row r="387" spans="1:23" ht="15.75" thickBot="1" x14ac:dyDescent="0.3">
      <c r="A387" s="307"/>
      <c r="B387" s="309"/>
      <c r="C387" s="22" t="s">
        <v>481</v>
      </c>
      <c r="D387" s="23">
        <v>212.5</v>
      </c>
      <c r="E387" s="23">
        <v>212.5</v>
      </c>
      <c r="F387" s="23">
        <v>7.7</v>
      </c>
      <c r="G387" s="23">
        <v>204.8</v>
      </c>
      <c r="H387" s="23">
        <v>204.8</v>
      </c>
      <c r="I387" s="279">
        <f t="shared" si="24"/>
        <v>3.623529411764706E-2</v>
      </c>
      <c r="J387" s="316"/>
      <c r="K387" s="325"/>
      <c r="L387" s="325"/>
      <c r="M387" s="382"/>
      <c r="N387" s="25"/>
      <c r="O387" s="25"/>
      <c r="P387" s="25"/>
      <c r="Q387" s="25"/>
      <c r="R387" s="309"/>
      <c r="S387" s="327"/>
    </row>
    <row r="388" spans="1:23" ht="39.6" customHeight="1" x14ac:dyDescent="0.25">
      <c r="A388" s="306" t="s">
        <v>695</v>
      </c>
      <c r="B388" s="308" t="s">
        <v>696</v>
      </c>
      <c r="C388" s="17"/>
      <c r="D388" s="18">
        <f>SUM(D389:D390)</f>
        <v>64.800000000000011</v>
      </c>
      <c r="E388" s="18">
        <f>SUM(E389:E390)</f>
        <v>64.800000000000011</v>
      </c>
      <c r="F388" s="18">
        <f>SUM(F389:F390)</f>
        <v>49.1</v>
      </c>
      <c r="G388" s="18">
        <f>SUM(G389:G390)</f>
        <v>15.7</v>
      </c>
      <c r="H388" s="18">
        <f>SUM(H389:H390)</f>
        <v>15.7</v>
      </c>
      <c r="I388" s="261">
        <f t="shared" si="24"/>
        <v>0.75771604938271597</v>
      </c>
      <c r="J388" s="314" t="s">
        <v>659</v>
      </c>
      <c r="K388" s="323" t="s">
        <v>29</v>
      </c>
      <c r="L388" s="323">
        <v>100</v>
      </c>
      <c r="M388" s="347">
        <v>100</v>
      </c>
      <c r="N388" s="20"/>
      <c r="O388" s="20"/>
      <c r="P388" s="20"/>
      <c r="Q388" s="20"/>
      <c r="R388" s="308" t="s">
        <v>1646</v>
      </c>
      <c r="S388" s="317"/>
    </row>
    <row r="389" spans="1:23" x14ac:dyDescent="0.25">
      <c r="A389" s="406"/>
      <c r="B389" s="310"/>
      <c r="C389" s="22" t="s">
        <v>697</v>
      </c>
      <c r="D389" s="23">
        <v>44.7</v>
      </c>
      <c r="E389" s="23">
        <v>44.7</v>
      </c>
      <c r="F389" s="23">
        <v>29</v>
      </c>
      <c r="G389" s="23">
        <v>15.7</v>
      </c>
      <c r="H389" s="54">
        <v>15.7</v>
      </c>
      <c r="I389" s="262">
        <f t="shared" si="24"/>
        <v>0.6487695749440715</v>
      </c>
      <c r="J389" s="315"/>
      <c r="K389" s="324"/>
      <c r="L389" s="324"/>
      <c r="M389" s="348"/>
      <c r="N389" s="25"/>
      <c r="O389" s="25"/>
      <c r="P389" s="25"/>
      <c r="Q389" s="25"/>
      <c r="R389" s="310"/>
      <c r="S389" s="318"/>
    </row>
    <row r="390" spans="1:23" ht="15.75" thickBot="1" x14ac:dyDescent="0.3">
      <c r="A390" s="307"/>
      <c r="B390" s="309"/>
      <c r="C390" s="22" t="s">
        <v>55</v>
      </c>
      <c r="D390" s="23">
        <v>20.100000000000001</v>
      </c>
      <c r="E390" s="23">
        <v>20.100000000000001</v>
      </c>
      <c r="F390" s="23">
        <v>20.100000000000001</v>
      </c>
      <c r="G390" s="23"/>
      <c r="H390" s="23"/>
      <c r="I390" s="279">
        <f t="shared" si="24"/>
        <v>1</v>
      </c>
      <c r="J390" s="316"/>
      <c r="K390" s="325"/>
      <c r="L390" s="325"/>
      <c r="M390" s="349"/>
      <c r="N390" s="25"/>
      <c r="O390" s="25"/>
      <c r="P390" s="25"/>
      <c r="Q390" s="25"/>
      <c r="R390" s="309"/>
      <c r="S390" s="319"/>
    </row>
    <row r="391" spans="1:23" ht="39" thickBot="1" x14ac:dyDescent="0.3">
      <c r="A391" s="16" t="s">
        <v>698</v>
      </c>
      <c r="B391" s="42" t="s">
        <v>699</v>
      </c>
      <c r="C391" s="17" t="s">
        <v>32</v>
      </c>
      <c r="D391" s="26">
        <v>10</v>
      </c>
      <c r="E391" s="26">
        <v>10</v>
      </c>
      <c r="F391" s="26">
        <v>9</v>
      </c>
      <c r="G391" s="26">
        <v>1</v>
      </c>
      <c r="H391" s="26">
        <v>1</v>
      </c>
      <c r="I391" s="264">
        <f t="shared" si="24"/>
        <v>0.9</v>
      </c>
      <c r="J391" s="48" t="s">
        <v>700</v>
      </c>
      <c r="K391" s="19" t="s">
        <v>57</v>
      </c>
      <c r="L391" s="19">
        <v>28</v>
      </c>
      <c r="M391" s="107">
        <v>18</v>
      </c>
      <c r="N391" s="20"/>
      <c r="O391" s="20"/>
      <c r="P391" s="20"/>
      <c r="Q391" s="20"/>
      <c r="R391" s="48" t="s">
        <v>1837</v>
      </c>
      <c r="S391" s="52" t="s">
        <v>1706</v>
      </c>
    </row>
    <row r="392" spans="1:23" ht="32.25" thickBot="1" x14ac:dyDescent="0.3">
      <c r="A392" s="5" t="s">
        <v>701</v>
      </c>
      <c r="B392" s="39" t="s">
        <v>702</v>
      </c>
      <c r="C392" s="6"/>
      <c r="D392" s="7">
        <f>SUM(D393:D393)</f>
        <v>19194</v>
      </c>
      <c r="E392" s="7">
        <f>SUM(E393:E393)</f>
        <v>19194</v>
      </c>
      <c r="F392" s="7">
        <f>SUM(F393:F393)</f>
        <v>14226.8</v>
      </c>
      <c r="G392" s="7">
        <f>SUM(G393:G393)</f>
        <v>4967.2</v>
      </c>
      <c r="H392" s="7">
        <f>SUM(H393:H393)</f>
        <v>4967.2</v>
      </c>
      <c r="I392" s="258">
        <f>SUM(F392/E392)</f>
        <v>0.74121079504011667</v>
      </c>
      <c r="J392" s="452"/>
      <c r="K392" s="453"/>
      <c r="L392" s="453"/>
      <c r="M392" s="453"/>
      <c r="N392" s="453"/>
      <c r="O392" s="453"/>
      <c r="P392" s="453"/>
      <c r="Q392" s="453"/>
      <c r="R392" s="453"/>
      <c r="S392" s="454"/>
      <c r="U392" s="240"/>
      <c r="V392" s="241" t="s">
        <v>1</v>
      </c>
      <c r="W392" s="251" t="s">
        <v>1941</v>
      </c>
    </row>
    <row r="393" spans="1:23" ht="53.25" customHeight="1" x14ac:dyDescent="0.25">
      <c r="A393" s="458" t="s">
        <v>703</v>
      </c>
      <c r="B393" s="449" t="s">
        <v>704</v>
      </c>
      <c r="C393" s="9"/>
      <c r="D393" s="10">
        <f>D394+D395+D431+D450</f>
        <v>19194</v>
      </c>
      <c r="E393" s="10">
        <f>E394+E395+E431+E450</f>
        <v>19194</v>
      </c>
      <c r="F393" s="10">
        <f>F394+F395+F431+F450</f>
        <v>14226.8</v>
      </c>
      <c r="G393" s="10">
        <f>G394+G395+G431+G450</f>
        <v>4967.2</v>
      </c>
      <c r="H393" s="10">
        <f>H394+H395+H431+H450</f>
        <v>4967.2</v>
      </c>
      <c r="I393" s="259">
        <f>SUM(F393/E393)</f>
        <v>0.74121079504011667</v>
      </c>
      <c r="J393" s="47" t="s">
        <v>705</v>
      </c>
      <c r="K393" s="11" t="s">
        <v>57</v>
      </c>
      <c r="L393" s="11">
        <v>70</v>
      </c>
      <c r="M393" s="11">
        <v>70</v>
      </c>
      <c r="N393" s="12"/>
      <c r="O393" s="12"/>
      <c r="P393" s="12"/>
      <c r="Q393" s="12"/>
      <c r="R393" s="400"/>
      <c r="S393" s="401"/>
      <c r="U393" s="242"/>
      <c r="V393" s="243" t="s">
        <v>1930</v>
      </c>
      <c r="W393" s="244">
        <v>2</v>
      </c>
    </row>
    <row r="394" spans="1:23" ht="32.25" thickBot="1" x14ac:dyDescent="0.3">
      <c r="A394" s="460"/>
      <c r="B394" s="451"/>
      <c r="C394" s="65"/>
      <c r="D394" s="66"/>
      <c r="E394" s="66"/>
      <c r="F394" s="66"/>
      <c r="G394" s="66"/>
      <c r="H394" s="66"/>
      <c r="I394" s="280"/>
      <c r="J394" s="64" t="s">
        <v>706</v>
      </c>
      <c r="K394" s="62" t="s">
        <v>57</v>
      </c>
      <c r="L394" s="62">
        <v>18</v>
      </c>
      <c r="M394" s="62">
        <v>18</v>
      </c>
      <c r="N394" s="63"/>
      <c r="O394" s="63"/>
      <c r="P394" s="63"/>
      <c r="Q394" s="63"/>
      <c r="R394" s="402"/>
      <c r="S394" s="403"/>
      <c r="U394" s="249"/>
      <c r="V394" s="243" t="s">
        <v>1931</v>
      </c>
      <c r="W394" s="244"/>
    </row>
    <row r="395" spans="1:23" ht="32.25" thickBot="1" x14ac:dyDescent="0.3">
      <c r="A395" s="13" t="s">
        <v>707</v>
      </c>
      <c r="B395" s="41" t="s">
        <v>708</v>
      </c>
      <c r="C395" s="14"/>
      <c r="D395" s="15">
        <f>D396+D404+D409+D411+D414+D424+D430</f>
        <v>10593.5</v>
      </c>
      <c r="E395" s="15">
        <f>E396+E404+E409+E411+E414+E424+E430</f>
        <v>10593.5</v>
      </c>
      <c r="F395" s="15">
        <f>F396+F404+F409+F411+F414+F424+F430</f>
        <v>10359.299999999999</v>
      </c>
      <c r="G395" s="15">
        <f>G396+G404+G409+G411+G414+G424+G430</f>
        <v>234.20000000000002</v>
      </c>
      <c r="H395" s="15">
        <f>H396+H404+H409+H411+H414+H424+H430</f>
        <v>234.20000000000002</v>
      </c>
      <c r="I395" s="260">
        <f>SUM(F395/E395)</f>
        <v>0.97789210364846357</v>
      </c>
      <c r="J395" s="329"/>
      <c r="K395" s="330"/>
      <c r="L395" s="330"/>
      <c r="M395" s="330"/>
      <c r="N395" s="330"/>
      <c r="O395" s="330"/>
      <c r="P395" s="330"/>
      <c r="Q395" s="330"/>
      <c r="R395" s="330"/>
      <c r="S395" s="331"/>
      <c r="U395" s="245"/>
      <c r="V395" s="243" t="s">
        <v>1932</v>
      </c>
      <c r="W395" s="246">
        <v>4</v>
      </c>
    </row>
    <row r="396" spans="1:23" ht="78" customHeight="1" x14ac:dyDescent="0.25">
      <c r="A396" s="306" t="s">
        <v>709</v>
      </c>
      <c r="B396" s="308" t="s">
        <v>710</v>
      </c>
      <c r="C396" s="17" t="s">
        <v>32</v>
      </c>
      <c r="D396" s="18">
        <f>SUM(D397:D403)+161</f>
        <v>161</v>
      </c>
      <c r="E396" s="18">
        <f>SUM(E397:E403)+161</f>
        <v>161</v>
      </c>
      <c r="F396" s="18">
        <f>SUM(F397:F403)+161</f>
        <v>161</v>
      </c>
      <c r="G396" s="18"/>
      <c r="H396" s="18"/>
      <c r="I396" s="264">
        <f t="shared" ref="I396" si="25">SUM(F396/E396)</f>
        <v>1</v>
      </c>
      <c r="J396" s="48" t="s">
        <v>711</v>
      </c>
      <c r="K396" s="19" t="s">
        <v>57</v>
      </c>
      <c r="L396" s="19">
        <v>260</v>
      </c>
      <c r="M396" s="108">
        <v>285</v>
      </c>
      <c r="N396" s="20"/>
      <c r="O396" s="20"/>
      <c r="P396" s="20"/>
      <c r="Q396" s="20"/>
      <c r="R396" s="48" t="s">
        <v>712</v>
      </c>
      <c r="S396" s="52"/>
      <c r="U396" s="250"/>
      <c r="V396" s="243" t="s">
        <v>1933</v>
      </c>
      <c r="W396" s="246">
        <v>7</v>
      </c>
    </row>
    <row r="397" spans="1:23" ht="76.5" customHeight="1" x14ac:dyDescent="0.25">
      <c r="A397" s="406"/>
      <c r="B397" s="310"/>
      <c r="C397" s="22"/>
      <c r="D397" s="23"/>
      <c r="E397" s="23"/>
      <c r="F397" s="23"/>
      <c r="G397" s="23"/>
      <c r="H397" s="23"/>
      <c r="I397" s="269"/>
      <c r="J397" s="49" t="s">
        <v>713</v>
      </c>
      <c r="K397" s="24" t="s">
        <v>57</v>
      </c>
      <c r="L397" s="24">
        <v>565</v>
      </c>
      <c r="M397" s="110">
        <v>582</v>
      </c>
      <c r="N397" s="25"/>
      <c r="O397" s="25"/>
      <c r="P397" s="25"/>
      <c r="Q397" s="25"/>
      <c r="R397" s="49" t="s">
        <v>714</v>
      </c>
      <c r="S397" s="53"/>
      <c r="U397" s="247"/>
      <c r="V397" s="243" t="s">
        <v>1934</v>
      </c>
      <c r="W397" s="246">
        <v>1</v>
      </c>
    </row>
    <row r="398" spans="1:23" ht="90.75" customHeight="1" x14ac:dyDescent="0.25">
      <c r="A398" s="406"/>
      <c r="B398" s="310"/>
      <c r="C398" s="22"/>
      <c r="D398" s="23"/>
      <c r="E398" s="23"/>
      <c r="F398" s="23"/>
      <c r="G398" s="23"/>
      <c r="H398" s="23"/>
      <c r="I398" s="269"/>
      <c r="J398" s="49" t="s">
        <v>715</v>
      </c>
      <c r="K398" s="24" t="s">
        <v>57</v>
      </c>
      <c r="L398" s="24">
        <v>37</v>
      </c>
      <c r="M398" s="110">
        <v>40</v>
      </c>
      <c r="N398" s="25"/>
      <c r="O398" s="25"/>
      <c r="P398" s="25"/>
      <c r="Q398" s="25"/>
      <c r="R398" s="49" t="s">
        <v>716</v>
      </c>
      <c r="S398" s="53"/>
      <c r="U398" s="240"/>
      <c r="V398" s="248" t="s">
        <v>1935</v>
      </c>
      <c r="W398" s="246">
        <f>+SUM(W393:W397)</f>
        <v>14</v>
      </c>
    </row>
    <row r="399" spans="1:23" ht="105" customHeight="1" x14ac:dyDescent="0.25">
      <c r="A399" s="406"/>
      <c r="B399" s="310"/>
      <c r="C399" s="22"/>
      <c r="D399" s="23"/>
      <c r="E399" s="23"/>
      <c r="F399" s="23"/>
      <c r="G399" s="23"/>
      <c r="H399" s="23"/>
      <c r="I399" s="269"/>
      <c r="J399" s="49" t="s">
        <v>717</v>
      </c>
      <c r="K399" s="24" t="s">
        <v>57</v>
      </c>
      <c r="L399" s="24">
        <v>25</v>
      </c>
      <c r="M399" s="110">
        <v>50</v>
      </c>
      <c r="N399" s="25"/>
      <c r="O399" s="25"/>
      <c r="P399" s="25"/>
      <c r="Q399" s="25"/>
      <c r="R399" s="49" t="s">
        <v>718</v>
      </c>
      <c r="S399" s="53"/>
    </row>
    <row r="400" spans="1:23" ht="68.25" customHeight="1" x14ac:dyDescent="0.25">
      <c r="A400" s="406"/>
      <c r="B400" s="310"/>
      <c r="C400" s="22"/>
      <c r="D400" s="23"/>
      <c r="E400" s="23"/>
      <c r="F400" s="23"/>
      <c r="G400" s="23"/>
      <c r="H400" s="23"/>
      <c r="I400" s="269"/>
      <c r="J400" s="49" t="s">
        <v>719</v>
      </c>
      <c r="K400" s="24" t="s">
        <v>57</v>
      </c>
      <c r="L400" s="24">
        <v>32</v>
      </c>
      <c r="M400" s="110">
        <v>48</v>
      </c>
      <c r="N400" s="25"/>
      <c r="O400" s="25"/>
      <c r="P400" s="25"/>
      <c r="Q400" s="25"/>
      <c r="R400" s="49" t="s">
        <v>720</v>
      </c>
      <c r="S400" s="53"/>
    </row>
    <row r="401" spans="1:19" ht="38.25" x14ac:dyDescent="0.25">
      <c r="A401" s="406"/>
      <c r="B401" s="310"/>
      <c r="C401" s="22"/>
      <c r="D401" s="23"/>
      <c r="E401" s="23"/>
      <c r="F401" s="23"/>
      <c r="G401" s="23"/>
      <c r="H401" s="23"/>
      <c r="I401" s="269"/>
      <c r="J401" s="49" t="s">
        <v>721</v>
      </c>
      <c r="K401" s="24" t="s">
        <v>57</v>
      </c>
      <c r="L401" s="24">
        <v>128</v>
      </c>
      <c r="M401" s="110">
        <v>139</v>
      </c>
      <c r="N401" s="25"/>
      <c r="O401" s="25"/>
      <c r="P401" s="25"/>
      <c r="Q401" s="25"/>
      <c r="R401" s="49" t="s">
        <v>722</v>
      </c>
      <c r="S401" s="53"/>
    </row>
    <row r="402" spans="1:19" ht="51" x14ac:dyDescent="0.25">
      <c r="A402" s="406"/>
      <c r="B402" s="310"/>
      <c r="C402" s="22"/>
      <c r="D402" s="23"/>
      <c r="E402" s="23"/>
      <c r="F402" s="23"/>
      <c r="G402" s="23"/>
      <c r="H402" s="23"/>
      <c r="I402" s="269"/>
      <c r="J402" s="49" t="s">
        <v>723</v>
      </c>
      <c r="K402" s="24" t="s">
        <v>57</v>
      </c>
      <c r="L402" s="24">
        <v>195</v>
      </c>
      <c r="M402" s="109">
        <v>162</v>
      </c>
      <c r="N402" s="25"/>
      <c r="O402" s="25"/>
      <c r="P402" s="25"/>
      <c r="Q402" s="25"/>
      <c r="R402" s="145"/>
      <c r="S402" s="53" t="s">
        <v>724</v>
      </c>
    </row>
    <row r="403" spans="1:19" ht="26.25" thickBot="1" x14ac:dyDescent="0.3">
      <c r="A403" s="307"/>
      <c r="B403" s="309"/>
      <c r="C403" s="22"/>
      <c r="D403" s="23"/>
      <c r="E403" s="23"/>
      <c r="F403" s="23"/>
      <c r="G403" s="23"/>
      <c r="H403" s="23"/>
      <c r="I403" s="269"/>
      <c r="J403" s="49" t="s">
        <v>725</v>
      </c>
      <c r="K403" s="24" t="s">
        <v>57</v>
      </c>
      <c r="L403" s="24">
        <v>177</v>
      </c>
      <c r="M403" s="110">
        <v>179</v>
      </c>
      <c r="N403" s="25"/>
      <c r="O403" s="25"/>
      <c r="P403" s="25"/>
      <c r="Q403" s="25"/>
      <c r="R403" s="49" t="s">
        <v>726</v>
      </c>
      <c r="S403" s="53"/>
    </row>
    <row r="404" spans="1:19" ht="298.5" customHeight="1" x14ac:dyDescent="0.25">
      <c r="A404" s="306" t="s">
        <v>727</v>
      </c>
      <c r="B404" s="308" t="s">
        <v>728</v>
      </c>
      <c r="C404" s="17" t="s">
        <v>32</v>
      </c>
      <c r="D404" s="18">
        <f>SUM(D405:D408)+469.4</f>
        <v>469.4</v>
      </c>
      <c r="E404" s="18">
        <f>SUM(E405:E408)+469.4</f>
        <v>469.4</v>
      </c>
      <c r="F404" s="18">
        <f>SUM(F405:F408)+469.4</f>
        <v>469.4</v>
      </c>
      <c r="G404" s="18"/>
      <c r="H404" s="18"/>
      <c r="I404" s="264">
        <f t="shared" ref="I404" si="26">SUM(F404/E404)</f>
        <v>1</v>
      </c>
      <c r="J404" s="48" t="s">
        <v>729</v>
      </c>
      <c r="K404" s="19" t="s">
        <v>57</v>
      </c>
      <c r="L404" s="19">
        <v>14</v>
      </c>
      <c r="M404" s="108">
        <v>16</v>
      </c>
      <c r="N404" s="20"/>
      <c r="O404" s="20"/>
      <c r="P404" s="20"/>
      <c r="Q404" s="20"/>
      <c r="R404" s="48" t="s">
        <v>1644</v>
      </c>
      <c r="S404" s="52"/>
    </row>
    <row r="405" spans="1:19" ht="223.5" customHeight="1" x14ac:dyDescent="0.25">
      <c r="A405" s="406"/>
      <c r="B405" s="310"/>
      <c r="C405" s="22"/>
      <c r="D405" s="23"/>
      <c r="E405" s="23"/>
      <c r="F405" s="23"/>
      <c r="G405" s="23"/>
      <c r="H405" s="23"/>
      <c r="I405" s="269"/>
      <c r="J405" s="49" t="s">
        <v>730</v>
      </c>
      <c r="K405" s="24" t="s">
        <v>57</v>
      </c>
      <c r="L405" s="24">
        <v>9</v>
      </c>
      <c r="M405" s="104">
        <v>9</v>
      </c>
      <c r="N405" s="25"/>
      <c r="O405" s="25"/>
      <c r="P405" s="25"/>
      <c r="Q405" s="25"/>
      <c r="R405" s="49" t="s">
        <v>1643</v>
      </c>
      <c r="S405" s="53"/>
    </row>
    <row r="406" spans="1:19" ht="236.25" customHeight="1" x14ac:dyDescent="0.25">
      <c r="A406" s="406"/>
      <c r="B406" s="310"/>
      <c r="C406" s="22"/>
      <c r="D406" s="23"/>
      <c r="E406" s="23"/>
      <c r="F406" s="23"/>
      <c r="G406" s="23"/>
      <c r="H406" s="23"/>
      <c r="I406" s="269"/>
      <c r="J406" s="49" t="s">
        <v>731</v>
      </c>
      <c r="K406" s="24" t="s">
        <v>57</v>
      </c>
      <c r="L406" s="24">
        <v>10</v>
      </c>
      <c r="M406" s="110">
        <v>11</v>
      </c>
      <c r="N406" s="25"/>
      <c r="O406" s="25"/>
      <c r="P406" s="25"/>
      <c r="Q406" s="25"/>
      <c r="R406" s="49" t="s">
        <v>1642</v>
      </c>
      <c r="S406" s="53"/>
    </row>
    <row r="407" spans="1:19" ht="142.5" customHeight="1" x14ac:dyDescent="0.25">
      <c r="A407" s="406"/>
      <c r="B407" s="310"/>
      <c r="C407" s="22"/>
      <c r="D407" s="23"/>
      <c r="E407" s="23"/>
      <c r="F407" s="23"/>
      <c r="G407" s="23"/>
      <c r="H407" s="23"/>
      <c r="I407" s="269"/>
      <c r="J407" s="49" t="s">
        <v>732</v>
      </c>
      <c r="K407" s="24" t="s">
        <v>57</v>
      </c>
      <c r="L407" s="24">
        <v>7</v>
      </c>
      <c r="M407" s="109">
        <v>5</v>
      </c>
      <c r="N407" s="25"/>
      <c r="O407" s="25"/>
      <c r="P407" s="25"/>
      <c r="Q407" s="25"/>
      <c r="R407" s="49" t="s">
        <v>733</v>
      </c>
      <c r="S407" s="53"/>
    </row>
    <row r="408" spans="1:19" ht="26.25" thickBot="1" x14ac:dyDescent="0.3">
      <c r="A408" s="307"/>
      <c r="B408" s="309"/>
      <c r="C408" s="22"/>
      <c r="D408" s="23"/>
      <c r="E408" s="23"/>
      <c r="F408" s="23"/>
      <c r="G408" s="23"/>
      <c r="H408" s="23"/>
      <c r="I408" s="269"/>
      <c r="J408" s="49" t="s">
        <v>734</v>
      </c>
      <c r="K408" s="24" t="s">
        <v>57</v>
      </c>
      <c r="L408" s="24">
        <v>90</v>
      </c>
      <c r="M408" s="110">
        <v>143</v>
      </c>
      <c r="N408" s="25"/>
      <c r="O408" s="25"/>
      <c r="P408" s="25"/>
      <c r="Q408" s="25"/>
      <c r="R408" s="49" t="s">
        <v>735</v>
      </c>
      <c r="S408" s="53"/>
    </row>
    <row r="409" spans="1:19" ht="129" customHeight="1" x14ac:dyDescent="0.25">
      <c r="A409" s="306" t="s">
        <v>736</v>
      </c>
      <c r="B409" s="308" t="s">
        <v>737</v>
      </c>
      <c r="C409" s="17" t="s">
        <v>32</v>
      </c>
      <c r="D409" s="18">
        <f>SUM(D410:D410)+832.4</f>
        <v>832.4</v>
      </c>
      <c r="E409" s="18">
        <f>SUM(E410:E410)+832.4</f>
        <v>832.4</v>
      </c>
      <c r="F409" s="18">
        <f>SUM(F410:F410)+832.4</f>
        <v>832.4</v>
      </c>
      <c r="G409" s="18"/>
      <c r="H409" s="18"/>
      <c r="I409" s="264">
        <f t="shared" ref="I409" si="27">SUM(F409/E409)</f>
        <v>1</v>
      </c>
      <c r="J409" s="48" t="s">
        <v>738</v>
      </c>
      <c r="K409" s="19" t="s">
        <v>57</v>
      </c>
      <c r="L409" s="19">
        <v>8</v>
      </c>
      <c r="M409" s="111">
        <v>8</v>
      </c>
      <c r="N409" s="20"/>
      <c r="O409" s="20"/>
      <c r="P409" s="20"/>
      <c r="Q409" s="20"/>
      <c r="R409" s="48" t="s">
        <v>1744</v>
      </c>
      <c r="S409" s="303"/>
    </row>
    <row r="410" spans="1:19" ht="39" thickBot="1" x14ac:dyDescent="0.3">
      <c r="A410" s="307"/>
      <c r="B410" s="309"/>
      <c r="C410" s="22"/>
      <c r="D410" s="23"/>
      <c r="E410" s="23"/>
      <c r="F410" s="23"/>
      <c r="G410" s="23"/>
      <c r="H410" s="23"/>
      <c r="I410" s="269"/>
      <c r="J410" s="49" t="s">
        <v>739</v>
      </c>
      <c r="K410" s="24" t="s">
        <v>57</v>
      </c>
      <c r="L410" s="94">
        <v>2750</v>
      </c>
      <c r="M410" s="114">
        <v>5900</v>
      </c>
      <c r="N410" s="25"/>
      <c r="O410" s="25"/>
      <c r="P410" s="25"/>
      <c r="Q410" s="25"/>
      <c r="R410" s="49" t="s">
        <v>740</v>
      </c>
      <c r="S410" s="305"/>
    </row>
    <row r="411" spans="1:19" ht="39" customHeight="1" x14ac:dyDescent="0.25">
      <c r="A411" s="306" t="s">
        <v>741</v>
      </c>
      <c r="B411" s="308" t="s">
        <v>742</v>
      </c>
      <c r="C411" s="17"/>
      <c r="D411" s="18">
        <f>SUM(D412:D413)</f>
        <v>101.2</v>
      </c>
      <c r="E411" s="18">
        <f>SUM(E412:E413)</f>
        <v>101.2</v>
      </c>
      <c r="F411" s="18">
        <f>SUM(F412:F413)</f>
        <v>101.2</v>
      </c>
      <c r="G411" s="18"/>
      <c r="H411" s="18"/>
      <c r="I411" s="261">
        <f t="shared" ref="I411:I414" si="28">SUM(F411/E411)</f>
        <v>1</v>
      </c>
      <c r="J411" s="48" t="s">
        <v>743</v>
      </c>
      <c r="K411" s="19" t="s">
        <v>57</v>
      </c>
      <c r="L411" s="19">
        <v>23</v>
      </c>
      <c r="M411" s="108">
        <v>104</v>
      </c>
      <c r="N411" s="20"/>
      <c r="O411" s="20"/>
      <c r="P411" s="20"/>
      <c r="Q411" s="20"/>
      <c r="R411" s="48" t="s">
        <v>744</v>
      </c>
      <c r="S411" s="303"/>
    </row>
    <row r="412" spans="1:19" ht="25.5" x14ac:dyDescent="0.25">
      <c r="A412" s="406"/>
      <c r="B412" s="310"/>
      <c r="C412" s="22" t="s">
        <v>30</v>
      </c>
      <c r="D412" s="23">
        <v>15.2</v>
      </c>
      <c r="E412" s="23">
        <v>15.2</v>
      </c>
      <c r="F412" s="23">
        <v>15.2</v>
      </c>
      <c r="G412" s="23"/>
      <c r="H412" s="54"/>
      <c r="I412" s="262">
        <f t="shared" si="28"/>
        <v>1</v>
      </c>
      <c r="J412" s="55" t="s">
        <v>745</v>
      </c>
      <c r="K412" s="24" t="s">
        <v>57</v>
      </c>
      <c r="L412" s="24">
        <v>10</v>
      </c>
      <c r="M412" s="104">
        <v>10</v>
      </c>
      <c r="N412" s="25"/>
      <c r="O412" s="25"/>
      <c r="P412" s="25"/>
      <c r="Q412" s="25"/>
      <c r="R412" s="145" t="s">
        <v>746</v>
      </c>
      <c r="S412" s="304"/>
    </row>
    <row r="413" spans="1:19" ht="39" thickBot="1" x14ac:dyDescent="0.3">
      <c r="A413" s="307"/>
      <c r="B413" s="309"/>
      <c r="C413" s="22" t="s">
        <v>32</v>
      </c>
      <c r="D413" s="23">
        <v>86</v>
      </c>
      <c r="E413" s="23">
        <v>86</v>
      </c>
      <c r="F413" s="23">
        <v>86</v>
      </c>
      <c r="G413" s="23"/>
      <c r="H413" s="23"/>
      <c r="I413" s="279">
        <f t="shared" si="28"/>
        <v>1</v>
      </c>
      <c r="J413" s="49" t="s">
        <v>747</v>
      </c>
      <c r="K413" s="24" t="s">
        <v>57</v>
      </c>
      <c r="L413" s="24">
        <v>13</v>
      </c>
      <c r="M413" s="110">
        <v>33</v>
      </c>
      <c r="N413" s="25"/>
      <c r="O413" s="25"/>
      <c r="P413" s="25"/>
      <c r="Q413" s="25"/>
      <c r="R413" s="49" t="s">
        <v>748</v>
      </c>
      <c r="S413" s="305"/>
    </row>
    <row r="414" spans="1:19" ht="38.25" x14ac:dyDescent="0.25">
      <c r="A414" s="306" t="s">
        <v>749</v>
      </c>
      <c r="B414" s="308" t="s">
        <v>750</v>
      </c>
      <c r="C414" s="17"/>
      <c r="D414" s="18">
        <f>D415+D416+D417+D418+D421</f>
        <v>2637.5</v>
      </c>
      <c r="E414" s="18">
        <f>E415+E416+E417+E418+E421</f>
        <v>2637.5</v>
      </c>
      <c r="F414" s="18">
        <f>F415+F416+F417+F418+F421</f>
        <v>2633</v>
      </c>
      <c r="G414" s="18">
        <f>G415+G416+G417+G418+G421</f>
        <v>4.5</v>
      </c>
      <c r="H414" s="18">
        <f>H415+H416+H417+H418+H421</f>
        <v>4.5</v>
      </c>
      <c r="I414" s="264">
        <f t="shared" si="28"/>
        <v>0.99829383886255929</v>
      </c>
      <c r="J414" s="48" t="s">
        <v>751</v>
      </c>
      <c r="K414" s="19" t="s">
        <v>57</v>
      </c>
      <c r="L414" s="19">
        <v>3</v>
      </c>
      <c r="M414" s="111">
        <v>3</v>
      </c>
      <c r="N414" s="20"/>
      <c r="O414" s="20"/>
      <c r="P414" s="20"/>
      <c r="Q414" s="20"/>
      <c r="R414" s="297"/>
      <c r="S414" s="303"/>
    </row>
    <row r="415" spans="1:19" ht="38.25" x14ac:dyDescent="0.25">
      <c r="A415" s="406"/>
      <c r="B415" s="310"/>
      <c r="C415" s="22"/>
      <c r="D415" s="23"/>
      <c r="E415" s="23"/>
      <c r="F415" s="23"/>
      <c r="G415" s="23"/>
      <c r="H415" s="23"/>
      <c r="I415" s="269"/>
      <c r="J415" s="49" t="s">
        <v>752</v>
      </c>
      <c r="K415" s="24" t="s">
        <v>57</v>
      </c>
      <c r="L415" s="24">
        <v>660</v>
      </c>
      <c r="M415" s="110">
        <v>827</v>
      </c>
      <c r="N415" s="25"/>
      <c r="O415" s="25"/>
      <c r="P415" s="25"/>
      <c r="Q415" s="25"/>
      <c r="R415" s="298"/>
      <c r="S415" s="304"/>
    </row>
    <row r="416" spans="1:19" ht="42" customHeight="1" x14ac:dyDescent="0.25">
      <c r="A416" s="406"/>
      <c r="B416" s="310"/>
      <c r="C416" s="22"/>
      <c r="D416" s="23"/>
      <c r="E416" s="23"/>
      <c r="F416" s="23"/>
      <c r="G416" s="23"/>
      <c r="H416" s="23"/>
      <c r="I416" s="269"/>
      <c r="J416" s="49" t="s">
        <v>753</v>
      </c>
      <c r="K416" s="24" t="s">
        <v>57</v>
      </c>
      <c r="L416" s="24">
        <v>1</v>
      </c>
      <c r="M416" s="104">
        <v>1</v>
      </c>
      <c r="N416" s="25"/>
      <c r="O416" s="25"/>
      <c r="P416" s="25"/>
      <c r="Q416" s="25"/>
      <c r="R416" s="298"/>
      <c r="S416" s="304"/>
    </row>
    <row r="417" spans="1:19" ht="39" thickBot="1" x14ac:dyDescent="0.3">
      <c r="A417" s="307"/>
      <c r="B417" s="309"/>
      <c r="C417" s="22"/>
      <c r="D417" s="23"/>
      <c r="E417" s="23"/>
      <c r="F417" s="23"/>
      <c r="G417" s="23"/>
      <c r="H417" s="23"/>
      <c r="I417" s="269"/>
      <c r="J417" s="49" t="s">
        <v>754</v>
      </c>
      <c r="K417" s="24" t="s">
        <v>57</v>
      </c>
      <c r="L417" s="24">
        <v>560</v>
      </c>
      <c r="M417" s="110">
        <v>628</v>
      </c>
      <c r="N417" s="25"/>
      <c r="O417" s="25"/>
      <c r="P417" s="25"/>
      <c r="Q417" s="25"/>
      <c r="R417" s="299"/>
      <c r="S417" s="305"/>
    </row>
    <row r="418" spans="1:19" ht="38.25" x14ac:dyDescent="0.25">
      <c r="A418" s="306" t="s">
        <v>755</v>
      </c>
      <c r="B418" s="308" t="s">
        <v>756</v>
      </c>
      <c r="C418" s="17"/>
      <c r="D418" s="18">
        <f>SUM(D419:D420)</f>
        <v>1690.2</v>
      </c>
      <c r="E418" s="18">
        <f>SUM(E419:E420)</f>
        <v>1690.2</v>
      </c>
      <c r="F418" s="18">
        <f>SUM(F419:F420)</f>
        <v>1690.2</v>
      </c>
      <c r="G418" s="18"/>
      <c r="H418" s="18"/>
      <c r="I418" s="261">
        <f t="shared" ref="I418:I430" si="29">SUM(F418/E418)</f>
        <v>1</v>
      </c>
      <c r="J418" s="48" t="s">
        <v>751</v>
      </c>
      <c r="K418" s="19" t="s">
        <v>57</v>
      </c>
      <c r="L418" s="19">
        <v>3</v>
      </c>
      <c r="M418" s="111">
        <v>3</v>
      </c>
      <c r="N418" s="20"/>
      <c r="O418" s="20"/>
      <c r="P418" s="20"/>
      <c r="Q418" s="20"/>
      <c r="R418" s="48" t="s">
        <v>757</v>
      </c>
      <c r="S418" s="303"/>
    </row>
    <row r="419" spans="1:19" ht="30" customHeight="1" x14ac:dyDescent="0.25">
      <c r="A419" s="406"/>
      <c r="B419" s="310"/>
      <c r="C419" s="22" t="s">
        <v>30</v>
      </c>
      <c r="D419" s="23">
        <v>1684.7</v>
      </c>
      <c r="E419" s="23">
        <v>1684.7</v>
      </c>
      <c r="F419" s="23">
        <v>1684.7</v>
      </c>
      <c r="G419" s="23"/>
      <c r="H419" s="54"/>
      <c r="I419" s="262">
        <f t="shared" si="29"/>
        <v>1</v>
      </c>
      <c r="J419" s="333" t="s">
        <v>752</v>
      </c>
      <c r="K419" s="334" t="s">
        <v>57</v>
      </c>
      <c r="L419" s="334">
        <v>660</v>
      </c>
      <c r="M419" s="335">
        <v>827</v>
      </c>
      <c r="N419" s="25"/>
      <c r="O419" s="25"/>
      <c r="P419" s="25"/>
      <c r="Q419" s="25"/>
      <c r="R419" s="379"/>
      <c r="S419" s="304"/>
    </row>
    <row r="420" spans="1:19" ht="15.75" thickBot="1" x14ac:dyDescent="0.3">
      <c r="A420" s="307"/>
      <c r="B420" s="309"/>
      <c r="C420" s="22" t="s">
        <v>32</v>
      </c>
      <c r="D420" s="23">
        <v>5.5</v>
      </c>
      <c r="E420" s="23">
        <v>5.5</v>
      </c>
      <c r="F420" s="23">
        <v>5.5</v>
      </c>
      <c r="G420" s="23"/>
      <c r="H420" s="23"/>
      <c r="I420" s="279">
        <f t="shared" si="29"/>
        <v>1</v>
      </c>
      <c r="J420" s="316"/>
      <c r="K420" s="325"/>
      <c r="L420" s="325"/>
      <c r="M420" s="337"/>
      <c r="N420" s="25"/>
      <c r="O420" s="25"/>
      <c r="P420" s="25"/>
      <c r="Q420" s="25"/>
      <c r="R420" s="322"/>
      <c r="S420" s="305"/>
    </row>
    <row r="421" spans="1:19" ht="40.5" customHeight="1" x14ac:dyDescent="0.25">
      <c r="A421" s="306" t="s">
        <v>758</v>
      </c>
      <c r="B421" s="308" t="s">
        <v>759</v>
      </c>
      <c r="C421" s="17"/>
      <c r="D421" s="18">
        <f>SUM(D422:D423)</f>
        <v>947.30000000000007</v>
      </c>
      <c r="E421" s="18">
        <f>SUM(E422:E423)</f>
        <v>947.30000000000007</v>
      </c>
      <c r="F421" s="18">
        <f>SUM(F422:F423)</f>
        <v>942.80000000000007</v>
      </c>
      <c r="G421" s="18">
        <f>SUM(G422:G423)</f>
        <v>4.5</v>
      </c>
      <c r="H421" s="18">
        <f>SUM(H422:H423)</f>
        <v>4.5</v>
      </c>
      <c r="I421" s="261">
        <f t="shared" si="29"/>
        <v>0.99524965691966638</v>
      </c>
      <c r="J421" s="48" t="s">
        <v>753</v>
      </c>
      <c r="K421" s="19" t="s">
        <v>57</v>
      </c>
      <c r="L421" s="19">
        <v>1</v>
      </c>
      <c r="M421" s="111">
        <v>1</v>
      </c>
      <c r="N421" s="20"/>
      <c r="O421" s="20"/>
      <c r="P421" s="20"/>
      <c r="Q421" s="20"/>
      <c r="R421" s="48" t="s">
        <v>760</v>
      </c>
      <c r="S421" s="294"/>
    </row>
    <row r="422" spans="1:19" ht="29.25" customHeight="1" x14ac:dyDescent="0.25">
      <c r="A422" s="406"/>
      <c r="B422" s="310"/>
      <c r="C422" s="22" t="s">
        <v>30</v>
      </c>
      <c r="D422" s="23">
        <v>923.7</v>
      </c>
      <c r="E422" s="23">
        <v>923.7</v>
      </c>
      <c r="F422" s="23">
        <v>919.2</v>
      </c>
      <c r="G422" s="23">
        <v>4.5</v>
      </c>
      <c r="H422" s="54">
        <v>4.5</v>
      </c>
      <c r="I422" s="262">
        <f t="shared" si="29"/>
        <v>0.99512828840532641</v>
      </c>
      <c r="J422" s="333" t="s">
        <v>754</v>
      </c>
      <c r="K422" s="334" t="s">
        <v>57</v>
      </c>
      <c r="L422" s="334">
        <v>560</v>
      </c>
      <c r="M422" s="335">
        <v>628</v>
      </c>
      <c r="N422" s="25"/>
      <c r="O422" s="25"/>
      <c r="P422" s="25"/>
      <c r="Q422" s="25"/>
      <c r="R422" s="379"/>
      <c r="S422" s="295"/>
    </row>
    <row r="423" spans="1:19" ht="15.75" thickBot="1" x14ac:dyDescent="0.3">
      <c r="A423" s="307"/>
      <c r="B423" s="309"/>
      <c r="C423" s="22" t="s">
        <v>32</v>
      </c>
      <c r="D423" s="23">
        <v>23.6</v>
      </c>
      <c r="E423" s="23">
        <v>23.6</v>
      </c>
      <c r="F423" s="23">
        <v>23.6</v>
      </c>
      <c r="G423" s="23"/>
      <c r="H423" s="23"/>
      <c r="I423" s="279">
        <f t="shared" si="29"/>
        <v>1</v>
      </c>
      <c r="J423" s="316"/>
      <c r="K423" s="325"/>
      <c r="L423" s="325"/>
      <c r="M423" s="337"/>
      <c r="N423" s="25"/>
      <c r="O423" s="25"/>
      <c r="P423" s="25"/>
      <c r="Q423" s="25"/>
      <c r="R423" s="322"/>
      <c r="S423" s="296"/>
    </row>
    <row r="424" spans="1:19" ht="25.5" x14ac:dyDescent="0.25">
      <c r="A424" s="306" t="s">
        <v>761</v>
      </c>
      <c r="B424" s="308" t="s">
        <v>762</v>
      </c>
      <c r="C424" s="17"/>
      <c r="D424" s="18">
        <f>SUM(D425:D429)</f>
        <v>6350</v>
      </c>
      <c r="E424" s="18">
        <f>SUM(E425:E429)</f>
        <v>6350</v>
      </c>
      <c r="F424" s="18">
        <f>SUM(F425:F429)-0.1</f>
        <v>6120.2999999999993</v>
      </c>
      <c r="G424" s="18">
        <f>SUM(G425:G429)+0.1</f>
        <v>229.70000000000002</v>
      </c>
      <c r="H424" s="18">
        <f>SUM(H425:H429)+0.1</f>
        <v>229.70000000000002</v>
      </c>
      <c r="I424" s="261">
        <f t="shared" si="29"/>
        <v>0.96382677165354325</v>
      </c>
      <c r="J424" s="48" t="s">
        <v>763</v>
      </c>
      <c r="K424" s="19" t="s">
        <v>57</v>
      </c>
      <c r="L424" s="98">
        <v>2950</v>
      </c>
      <c r="M424" s="136">
        <v>2847</v>
      </c>
      <c r="N424" s="20"/>
      <c r="O424" s="20"/>
      <c r="P424" s="20"/>
      <c r="Q424" s="20"/>
      <c r="R424" s="48" t="s">
        <v>764</v>
      </c>
      <c r="S424" s="303"/>
    </row>
    <row r="425" spans="1:19" ht="38.25" x14ac:dyDescent="0.25">
      <c r="A425" s="406"/>
      <c r="B425" s="310"/>
      <c r="C425" s="22" t="s">
        <v>172</v>
      </c>
      <c r="D425" s="23">
        <v>156.5</v>
      </c>
      <c r="E425" s="23">
        <v>156.5</v>
      </c>
      <c r="F425" s="23">
        <v>105.1</v>
      </c>
      <c r="G425" s="23">
        <v>51.4</v>
      </c>
      <c r="H425" s="54">
        <v>51.4</v>
      </c>
      <c r="I425" s="262">
        <f t="shared" si="29"/>
        <v>0.67156549520766773</v>
      </c>
      <c r="J425" s="55" t="s">
        <v>721</v>
      </c>
      <c r="K425" s="24" t="s">
        <v>57</v>
      </c>
      <c r="L425" s="24">
        <v>49</v>
      </c>
      <c r="M425" s="109">
        <v>38</v>
      </c>
      <c r="N425" s="25"/>
      <c r="O425" s="25"/>
      <c r="P425" s="25"/>
      <c r="Q425" s="25"/>
      <c r="R425" s="49" t="s">
        <v>765</v>
      </c>
      <c r="S425" s="304"/>
    </row>
    <row r="426" spans="1:19" ht="21" customHeight="1" x14ac:dyDescent="0.25">
      <c r="A426" s="406"/>
      <c r="B426" s="310"/>
      <c r="C426" s="22" t="s">
        <v>30</v>
      </c>
      <c r="D426" s="23">
        <v>215</v>
      </c>
      <c r="E426" s="23">
        <v>215</v>
      </c>
      <c r="F426" s="23">
        <v>214.9</v>
      </c>
      <c r="G426" s="23">
        <v>0.1</v>
      </c>
      <c r="H426" s="54">
        <v>0.1</v>
      </c>
      <c r="I426" s="262">
        <f t="shared" si="29"/>
        <v>0.99953488372093025</v>
      </c>
      <c r="J426" s="333" t="s">
        <v>723</v>
      </c>
      <c r="K426" s="334" t="s">
        <v>57</v>
      </c>
      <c r="L426" s="334">
        <v>165</v>
      </c>
      <c r="M426" s="335">
        <v>172</v>
      </c>
      <c r="N426" s="25"/>
      <c r="O426" s="25"/>
      <c r="P426" s="25"/>
      <c r="Q426" s="25"/>
      <c r="R426" s="338" t="s">
        <v>766</v>
      </c>
      <c r="S426" s="304"/>
    </row>
    <row r="427" spans="1:19" x14ac:dyDescent="0.25">
      <c r="A427" s="406"/>
      <c r="B427" s="310"/>
      <c r="C427" s="22" t="s">
        <v>177</v>
      </c>
      <c r="D427" s="23">
        <v>90.2</v>
      </c>
      <c r="E427" s="23">
        <v>90.2</v>
      </c>
      <c r="F427" s="23">
        <v>81.2</v>
      </c>
      <c r="G427" s="23">
        <v>9</v>
      </c>
      <c r="H427" s="54">
        <v>9</v>
      </c>
      <c r="I427" s="262">
        <f t="shared" si="29"/>
        <v>0.90022172949002222</v>
      </c>
      <c r="J427" s="315"/>
      <c r="K427" s="324"/>
      <c r="L427" s="324"/>
      <c r="M427" s="336"/>
      <c r="N427" s="25"/>
      <c r="O427" s="25"/>
      <c r="P427" s="25"/>
      <c r="Q427" s="25"/>
      <c r="R427" s="310"/>
      <c r="S427" s="304"/>
    </row>
    <row r="428" spans="1:19" x14ac:dyDescent="0.25">
      <c r="A428" s="406"/>
      <c r="B428" s="310"/>
      <c r="C428" s="22" t="s">
        <v>185</v>
      </c>
      <c r="D428" s="23">
        <v>635.4</v>
      </c>
      <c r="E428" s="23">
        <v>635.4</v>
      </c>
      <c r="F428" s="23">
        <v>602.70000000000005</v>
      </c>
      <c r="G428" s="23">
        <v>32.700000000000003</v>
      </c>
      <c r="H428" s="54">
        <v>32.700000000000003</v>
      </c>
      <c r="I428" s="262">
        <f t="shared" si="29"/>
        <v>0.9485363550519359</v>
      </c>
      <c r="J428" s="315"/>
      <c r="K428" s="324"/>
      <c r="L428" s="324"/>
      <c r="M428" s="336"/>
      <c r="N428" s="25"/>
      <c r="O428" s="25"/>
      <c r="P428" s="25"/>
      <c r="Q428" s="25"/>
      <c r="R428" s="310"/>
      <c r="S428" s="304"/>
    </row>
    <row r="429" spans="1:19" ht="15.75" thickBot="1" x14ac:dyDescent="0.3">
      <c r="A429" s="307"/>
      <c r="B429" s="309"/>
      <c r="C429" s="22" t="s">
        <v>32</v>
      </c>
      <c r="D429" s="23">
        <v>5252.9</v>
      </c>
      <c r="E429" s="23">
        <v>5252.9</v>
      </c>
      <c r="F429" s="23">
        <v>5116.5</v>
      </c>
      <c r="G429" s="23">
        <v>136.4</v>
      </c>
      <c r="H429" s="23">
        <v>136.4</v>
      </c>
      <c r="I429" s="279">
        <f t="shared" si="29"/>
        <v>0.9740333910792135</v>
      </c>
      <c r="J429" s="316"/>
      <c r="K429" s="325"/>
      <c r="L429" s="325"/>
      <c r="M429" s="337"/>
      <c r="N429" s="25"/>
      <c r="O429" s="25"/>
      <c r="P429" s="25"/>
      <c r="Q429" s="25"/>
      <c r="R429" s="309"/>
      <c r="S429" s="305"/>
    </row>
    <row r="430" spans="1:19" ht="66" customHeight="1" thickBot="1" x14ac:dyDescent="0.3">
      <c r="A430" s="16" t="s">
        <v>767</v>
      </c>
      <c r="B430" s="42" t="s">
        <v>768</v>
      </c>
      <c r="C430" s="17" t="s">
        <v>32</v>
      </c>
      <c r="D430" s="26">
        <v>42</v>
      </c>
      <c r="E430" s="26">
        <v>42</v>
      </c>
      <c r="F430" s="26">
        <v>42</v>
      </c>
      <c r="G430" s="26"/>
      <c r="H430" s="26"/>
      <c r="I430" s="264">
        <f t="shared" si="29"/>
        <v>1</v>
      </c>
      <c r="J430" s="48" t="s">
        <v>769</v>
      </c>
      <c r="K430" s="19" t="s">
        <v>57</v>
      </c>
      <c r="L430" s="19">
        <v>270</v>
      </c>
      <c r="M430" s="108">
        <v>350</v>
      </c>
      <c r="N430" s="20"/>
      <c r="O430" s="20"/>
      <c r="P430" s="20"/>
      <c r="Q430" s="20"/>
      <c r="R430" s="147"/>
      <c r="S430" s="52"/>
    </row>
    <row r="431" spans="1:19" ht="26.25" thickBot="1" x14ac:dyDescent="0.3">
      <c r="A431" s="13" t="s">
        <v>770</v>
      </c>
      <c r="B431" s="41" t="s">
        <v>771</v>
      </c>
      <c r="C431" s="14"/>
      <c r="D431" s="15">
        <f>D432+D436+D437+D438+D442+D445+D446</f>
        <v>8472.1</v>
      </c>
      <c r="E431" s="15">
        <f>E432+E436+E437+E438+E442+E445+E446</f>
        <v>8472.1</v>
      </c>
      <c r="F431" s="15">
        <f>F432+F436+F437+F438+F442+F445+F446+0.1</f>
        <v>3739.1</v>
      </c>
      <c r="G431" s="15">
        <f>G432+G436+G437+G438+G442+G445+G446-0.1</f>
        <v>4733</v>
      </c>
      <c r="H431" s="15">
        <f>H432+H436+H437+H438+H442+H445+H446-0.1</f>
        <v>4733</v>
      </c>
      <c r="I431" s="260">
        <f>SUM(F431/E431)</f>
        <v>0.44134276035457559</v>
      </c>
      <c r="J431" s="329"/>
      <c r="K431" s="330"/>
      <c r="L431" s="330"/>
      <c r="M431" s="330"/>
      <c r="N431" s="330"/>
      <c r="O431" s="330"/>
      <c r="P431" s="330"/>
      <c r="Q431" s="330"/>
      <c r="R431" s="330"/>
      <c r="S431" s="331"/>
    </row>
    <row r="432" spans="1:19" ht="21.75" customHeight="1" x14ac:dyDescent="0.25">
      <c r="A432" s="306" t="s">
        <v>772</v>
      </c>
      <c r="B432" s="308" t="s">
        <v>773</v>
      </c>
      <c r="C432" s="17"/>
      <c r="D432" s="18">
        <f>SUM(D433:D435)</f>
        <v>7805.7</v>
      </c>
      <c r="E432" s="18">
        <f>SUM(E433:E435)</f>
        <v>7805.7</v>
      </c>
      <c r="F432" s="18">
        <f>SUM(F433:F435)</f>
        <v>3177.4</v>
      </c>
      <c r="G432" s="18">
        <f>SUM(G433:G435)</f>
        <v>4628.3</v>
      </c>
      <c r="H432" s="18">
        <f>SUM(H433:H435)</f>
        <v>4628.3</v>
      </c>
      <c r="I432" s="261">
        <f t="shared" ref="I432:I435" si="30">SUM(F432/E432)</f>
        <v>0.40706150633511412</v>
      </c>
      <c r="J432" s="314" t="s">
        <v>774</v>
      </c>
      <c r="K432" s="323" t="s">
        <v>29</v>
      </c>
      <c r="L432" s="323">
        <v>30</v>
      </c>
      <c r="M432" s="354">
        <v>18</v>
      </c>
      <c r="N432" s="20"/>
      <c r="O432" s="20"/>
      <c r="P432" s="20"/>
      <c r="Q432" s="20"/>
      <c r="R432" s="308" t="s">
        <v>1839</v>
      </c>
      <c r="S432" s="326" t="s">
        <v>1838</v>
      </c>
    </row>
    <row r="433" spans="1:19" x14ac:dyDescent="0.25">
      <c r="A433" s="406"/>
      <c r="B433" s="310"/>
      <c r="C433" s="22" t="s">
        <v>775</v>
      </c>
      <c r="D433" s="23">
        <v>1646.7</v>
      </c>
      <c r="E433" s="23">
        <v>1646.7</v>
      </c>
      <c r="F433" s="23">
        <v>1601</v>
      </c>
      <c r="G433" s="23">
        <v>45.7</v>
      </c>
      <c r="H433" s="54">
        <v>45.7</v>
      </c>
      <c r="I433" s="262">
        <f t="shared" si="30"/>
        <v>0.97224752535373771</v>
      </c>
      <c r="J433" s="315"/>
      <c r="K433" s="324"/>
      <c r="L433" s="324"/>
      <c r="M433" s="355"/>
      <c r="N433" s="25"/>
      <c r="O433" s="25"/>
      <c r="P433" s="25"/>
      <c r="Q433" s="25"/>
      <c r="R433" s="310"/>
      <c r="S433" s="332"/>
    </row>
    <row r="434" spans="1:19" x14ac:dyDescent="0.25">
      <c r="A434" s="406"/>
      <c r="B434" s="310"/>
      <c r="C434" s="22" t="s">
        <v>32</v>
      </c>
      <c r="D434" s="23">
        <v>1159</v>
      </c>
      <c r="E434" s="23">
        <v>1159</v>
      </c>
      <c r="F434" s="23">
        <v>1159</v>
      </c>
      <c r="G434" s="23"/>
      <c r="H434" s="54"/>
      <c r="I434" s="262">
        <f t="shared" si="30"/>
        <v>1</v>
      </c>
      <c r="J434" s="315"/>
      <c r="K434" s="324"/>
      <c r="L434" s="324"/>
      <c r="M434" s="355"/>
      <c r="N434" s="25"/>
      <c r="O434" s="25"/>
      <c r="P434" s="25"/>
      <c r="Q434" s="25"/>
      <c r="R434" s="310"/>
      <c r="S434" s="332"/>
    </row>
    <row r="435" spans="1:19" ht="15.75" thickBot="1" x14ac:dyDescent="0.3">
      <c r="A435" s="307"/>
      <c r="B435" s="309"/>
      <c r="C435" s="22" t="s">
        <v>481</v>
      </c>
      <c r="D435" s="23">
        <v>5000</v>
      </c>
      <c r="E435" s="23">
        <v>5000</v>
      </c>
      <c r="F435" s="23">
        <v>417.4</v>
      </c>
      <c r="G435" s="23">
        <v>4582.6000000000004</v>
      </c>
      <c r="H435" s="23">
        <v>4582.6000000000004</v>
      </c>
      <c r="I435" s="279">
        <f t="shared" si="30"/>
        <v>8.3479999999999999E-2</v>
      </c>
      <c r="J435" s="316"/>
      <c r="K435" s="325"/>
      <c r="L435" s="325"/>
      <c r="M435" s="356"/>
      <c r="N435" s="25"/>
      <c r="O435" s="25"/>
      <c r="P435" s="25"/>
      <c r="Q435" s="25"/>
      <c r="R435" s="309"/>
      <c r="S435" s="327"/>
    </row>
    <row r="436" spans="1:19" ht="26.25" hidden="1" thickBot="1" x14ac:dyDescent="0.3">
      <c r="A436" s="16" t="s">
        <v>776</v>
      </c>
      <c r="B436" s="42" t="s">
        <v>777</v>
      </c>
      <c r="C436" s="17"/>
      <c r="D436" s="26"/>
      <c r="E436" s="26"/>
      <c r="F436" s="26"/>
      <c r="G436" s="26"/>
      <c r="H436" s="26"/>
      <c r="I436" s="281"/>
      <c r="J436" s="48"/>
      <c r="K436" s="19"/>
      <c r="L436" s="19"/>
      <c r="M436" s="19"/>
      <c r="N436" s="20"/>
      <c r="O436" s="20"/>
      <c r="P436" s="20"/>
      <c r="Q436" s="20"/>
      <c r="R436" s="48"/>
      <c r="S436" s="52"/>
    </row>
    <row r="437" spans="1:19" ht="39" hidden="1" thickBot="1" x14ac:dyDescent="0.3">
      <c r="A437" s="16" t="s">
        <v>778</v>
      </c>
      <c r="B437" s="42" t="s">
        <v>779</v>
      </c>
      <c r="C437" s="17" t="s">
        <v>32</v>
      </c>
      <c r="D437" s="26"/>
      <c r="E437" s="26"/>
      <c r="F437" s="26"/>
      <c r="G437" s="26"/>
      <c r="H437" s="26"/>
      <c r="I437" s="281"/>
      <c r="J437" s="48"/>
      <c r="K437" s="19"/>
      <c r="L437" s="19"/>
      <c r="M437" s="19"/>
      <c r="N437" s="20"/>
      <c r="O437" s="20"/>
      <c r="P437" s="20"/>
      <c r="Q437" s="20"/>
      <c r="R437" s="48"/>
      <c r="S437" s="52"/>
    </row>
    <row r="438" spans="1:19" ht="38.25" customHeight="1" x14ac:dyDescent="0.25">
      <c r="A438" s="306" t="s">
        <v>780</v>
      </c>
      <c r="B438" s="308" t="s">
        <v>781</v>
      </c>
      <c r="C438" s="17"/>
      <c r="D438" s="18">
        <f>SUM(D439:D441)</f>
        <v>112.2</v>
      </c>
      <c r="E438" s="18">
        <f>SUM(E439:E441)</f>
        <v>112.2</v>
      </c>
      <c r="F438" s="18">
        <f>SUM(F439:F441)</f>
        <v>111.5</v>
      </c>
      <c r="G438" s="18">
        <f>SUM(G439:G441)</f>
        <v>0.7</v>
      </c>
      <c r="H438" s="18">
        <f>SUM(H439:H441)</f>
        <v>0.7</v>
      </c>
      <c r="I438" s="261">
        <f t="shared" ref="I438:I449" si="31">SUM(F438/E438)</f>
        <v>0.99376114081996436</v>
      </c>
      <c r="J438" s="48" t="s">
        <v>782</v>
      </c>
      <c r="K438" s="19" t="s">
        <v>29</v>
      </c>
      <c r="L438" s="19">
        <v>100</v>
      </c>
      <c r="M438" s="111">
        <v>100</v>
      </c>
      <c r="N438" s="20"/>
      <c r="O438" s="20"/>
      <c r="P438" s="20"/>
      <c r="Q438" s="20"/>
      <c r="R438" s="48"/>
      <c r="S438" s="303"/>
    </row>
    <row r="439" spans="1:19" x14ac:dyDescent="0.25">
      <c r="A439" s="406"/>
      <c r="B439" s="310"/>
      <c r="C439" s="22" t="s">
        <v>32</v>
      </c>
      <c r="D439" s="23">
        <v>108</v>
      </c>
      <c r="E439" s="23">
        <v>108</v>
      </c>
      <c r="F439" s="23">
        <v>107.3</v>
      </c>
      <c r="G439" s="23">
        <v>0.7</v>
      </c>
      <c r="H439" s="54">
        <v>0.7</v>
      </c>
      <c r="I439" s="262">
        <f t="shared" si="31"/>
        <v>0.99351851851851847</v>
      </c>
      <c r="J439" s="55" t="s">
        <v>783</v>
      </c>
      <c r="K439" s="24" t="s">
        <v>29</v>
      </c>
      <c r="L439" s="24">
        <v>100</v>
      </c>
      <c r="M439" s="104">
        <v>100</v>
      </c>
      <c r="N439" s="25"/>
      <c r="O439" s="25"/>
      <c r="P439" s="25"/>
      <c r="Q439" s="25"/>
      <c r="R439" s="49"/>
      <c r="S439" s="304"/>
    </row>
    <row r="440" spans="1:19" ht="38.25" x14ac:dyDescent="0.25">
      <c r="A440" s="406"/>
      <c r="B440" s="310"/>
      <c r="C440" s="22" t="s">
        <v>30</v>
      </c>
      <c r="D440" s="23">
        <v>4.2</v>
      </c>
      <c r="E440" s="23">
        <v>4.2</v>
      </c>
      <c r="F440" s="23">
        <v>4.2</v>
      </c>
      <c r="G440" s="23"/>
      <c r="H440" s="54"/>
      <c r="I440" s="262">
        <f t="shared" si="31"/>
        <v>1</v>
      </c>
      <c r="J440" s="55" t="s">
        <v>784</v>
      </c>
      <c r="K440" s="24" t="s">
        <v>29</v>
      </c>
      <c r="L440" s="24">
        <v>100</v>
      </c>
      <c r="M440" s="104">
        <v>100</v>
      </c>
      <c r="N440" s="25"/>
      <c r="O440" s="25"/>
      <c r="P440" s="25"/>
      <c r="Q440" s="25"/>
      <c r="R440" s="49" t="s">
        <v>785</v>
      </c>
      <c r="S440" s="304"/>
    </row>
    <row r="441" spans="1:19" ht="39" thickBot="1" x14ac:dyDescent="0.3">
      <c r="A441" s="307"/>
      <c r="B441" s="309"/>
      <c r="C441" s="22"/>
      <c r="D441" s="23"/>
      <c r="E441" s="23"/>
      <c r="F441" s="23"/>
      <c r="G441" s="23"/>
      <c r="H441" s="23"/>
      <c r="I441" s="279"/>
      <c r="J441" s="49" t="s">
        <v>786</v>
      </c>
      <c r="K441" s="24" t="s">
        <v>29</v>
      </c>
      <c r="L441" s="24">
        <v>100</v>
      </c>
      <c r="M441" s="104">
        <v>100</v>
      </c>
      <c r="N441" s="25"/>
      <c r="O441" s="25"/>
      <c r="P441" s="25"/>
      <c r="Q441" s="25"/>
      <c r="R441" s="49" t="s">
        <v>787</v>
      </c>
      <c r="S441" s="305"/>
    </row>
    <row r="442" spans="1:19" ht="38.25" x14ac:dyDescent="0.25">
      <c r="A442" s="306" t="s">
        <v>788</v>
      </c>
      <c r="B442" s="308" t="s">
        <v>789</v>
      </c>
      <c r="C442" s="17"/>
      <c r="D442" s="18">
        <f>SUM(D443:D444)</f>
        <v>112.5</v>
      </c>
      <c r="E442" s="18">
        <f>SUM(E443:E444)</f>
        <v>112.5</v>
      </c>
      <c r="F442" s="18">
        <f>SUM(F443:F444)</f>
        <v>112.4</v>
      </c>
      <c r="G442" s="18">
        <f>SUM(G443:G444)</f>
        <v>0.1</v>
      </c>
      <c r="H442" s="18">
        <f>SUM(H443:H444)</f>
        <v>0.1</v>
      </c>
      <c r="I442" s="261">
        <f t="shared" si="31"/>
        <v>0.99911111111111117</v>
      </c>
      <c r="J442" s="48" t="s">
        <v>790</v>
      </c>
      <c r="K442" s="19" t="s">
        <v>29</v>
      </c>
      <c r="L442" s="19">
        <v>100</v>
      </c>
      <c r="M442" s="106">
        <v>0</v>
      </c>
      <c r="N442" s="20"/>
      <c r="O442" s="20"/>
      <c r="P442" s="20"/>
      <c r="Q442" s="20"/>
      <c r="R442" s="157"/>
      <c r="S442" s="52" t="s">
        <v>1662</v>
      </c>
    </row>
    <row r="443" spans="1:19" ht="16.5" customHeight="1" x14ac:dyDescent="0.25">
      <c r="A443" s="406"/>
      <c r="B443" s="310"/>
      <c r="C443" s="22" t="s">
        <v>30</v>
      </c>
      <c r="D443" s="23">
        <v>72.5</v>
      </c>
      <c r="E443" s="23">
        <v>72.5</v>
      </c>
      <c r="F443" s="23">
        <v>72.5</v>
      </c>
      <c r="G443" s="23"/>
      <c r="H443" s="54"/>
      <c r="I443" s="262">
        <f t="shared" si="31"/>
        <v>1</v>
      </c>
      <c r="J443" s="333" t="s">
        <v>791</v>
      </c>
      <c r="K443" s="334" t="s">
        <v>29</v>
      </c>
      <c r="L443" s="334">
        <v>100</v>
      </c>
      <c r="M443" s="353">
        <v>100</v>
      </c>
      <c r="N443" s="25"/>
      <c r="O443" s="25"/>
      <c r="P443" s="25"/>
      <c r="Q443" s="25"/>
      <c r="R443" s="338" t="s">
        <v>792</v>
      </c>
      <c r="S443" s="339"/>
    </row>
    <row r="444" spans="1:19" ht="15.75" thickBot="1" x14ac:dyDescent="0.3">
      <c r="A444" s="307"/>
      <c r="B444" s="309"/>
      <c r="C444" s="22" t="s">
        <v>32</v>
      </c>
      <c r="D444" s="23">
        <v>40</v>
      </c>
      <c r="E444" s="23">
        <v>40</v>
      </c>
      <c r="F444" s="23">
        <v>39.9</v>
      </c>
      <c r="G444" s="23">
        <v>0.1</v>
      </c>
      <c r="H444" s="23">
        <v>0.1</v>
      </c>
      <c r="I444" s="279">
        <f t="shared" si="31"/>
        <v>0.99749999999999994</v>
      </c>
      <c r="J444" s="316"/>
      <c r="K444" s="325"/>
      <c r="L444" s="325"/>
      <c r="M444" s="349"/>
      <c r="N444" s="25"/>
      <c r="O444" s="25"/>
      <c r="P444" s="25"/>
      <c r="Q444" s="25"/>
      <c r="R444" s="309"/>
      <c r="S444" s="305"/>
    </row>
    <row r="445" spans="1:19" ht="39" thickBot="1" x14ac:dyDescent="0.3">
      <c r="A445" s="16" t="s">
        <v>793</v>
      </c>
      <c r="B445" s="42" t="s">
        <v>794</v>
      </c>
      <c r="C445" s="17" t="s">
        <v>32</v>
      </c>
      <c r="D445" s="26">
        <v>50</v>
      </c>
      <c r="E445" s="26">
        <v>50</v>
      </c>
      <c r="F445" s="26"/>
      <c r="G445" s="26">
        <v>50</v>
      </c>
      <c r="H445" s="26">
        <v>50</v>
      </c>
      <c r="I445" s="264">
        <f t="shared" si="31"/>
        <v>0</v>
      </c>
      <c r="J445" s="48" t="s">
        <v>795</v>
      </c>
      <c r="K445" s="19" t="s">
        <v>22</v>
      </c>
      <c r="L445" s="19">
        <v>1</v>
      </c>
      <c r="M445" s="106">
        <v>0</v>
      </c>
      <c r="N445" s="20"/>
      <c r="O445" s="20"/>
      <c r="P445" s="20"/>
      <c r="Q445" s="20"/>
      <c r="R445" s="48" t="s">
        <v>1840</v>
      </c>
      <c r="S445" s="52" t="s">
        <v>1841</v>
      </c>
    </row>
    <row r="446" spans="1:19" ht="210" customHeight="1" x14ac:dyDescent="0.25">
      <c r="A446" s="306" t="s">
        <v>796</v>
      </c>
      <c r="B446" s="308" t="s">
        <v>797</v>
      </c>
      <c r="C446" s="17"/>
      <c r="D446" s="18">
        <f>SUM(D447:D449)</f>
        <v>391.70000000000005</v>
      </c>
      <c r="E446" s="18">
        <f>SUM(E447:E449)</f>
        <v>391.70000000000005</v>
      </c>
      <c r="F446" s="18">
        <f>SUM(F447:F449)</f>
        <v>337.7</v>
      </c>
      <c r="G446" s="18">
        <f>SUM(G447:G449)</f>
        <v>54</v>
      </c>
      <c r="H446" s="18">
        <f>SUM(H447:H449)</f>
        <v>54</v>
      </c>
      <c r="I446" s="261">
        <f t="shared" si="31"/>
        <v>0.86213939239213666</v>
      </c>
      <c r="J446" s="48" t="s">
        <v>774</v>
      </c>
      <c r="K446" s="19" t="s">
        <v>29</v>
      </c>
      <c r="L446" s="19">
        <v>100</v>
      </c>
      <c r="M446" s="111">
        <v>100</v>
      </c>
      <c r="N446" s="20"/>
      <c r="O446" s="20"/>
      <c r="P446" s="20"/>
      <c r="Q446" s="20"/>
      <c r="R446" s="48" t="s">
        <v>798</v>
      </c>
      <c r="S446" s="52"/>
    </row>
    <row r="447" spans="1:19" ht="18.75" customHeight="1" x14ac:dyDescent="0.25">
      <c r="A447" s="406"/>
      <c r="B447" s="310"/>
      <c r="C447" s="22" t="s">
        <v>30</v>
      </c>
      <c r="D447" s="23">
        <v>60.7</v>
      </c>
      <c r="E447" s="23">
        <v>60.7</v>
      </c>
      <c r="F447" s="23">
        <v>60.6</v>
      </c>
      <c r="G447" s="23">
        <v>0.1</v>
      </c>
      <c r="H447" s="54">
        <v>0.1</v>
      </c>
      <c r="I447" s="262">
        <f t="shared" si="31"/>
        <v>0.99835255354200991</v>
      </c>
      <c r="J447" s="333" t="s">
        <v>799</v>
      </c>
      <c r="K447" s="334" t="s">
        <v>22</v>
      </c>
      <c r="L447" s="334">
        <v>1</v>
      </c>
      <c r="M447" s="420">
        <v>0</v>
      </c>
      <c r="N447" s="25"/>
      <c r="O447" s="25"/>
      <c r="P447" s="25"/>
      <c r="Q447" s="25"/>
      <c r="R447" s="378"/>
      <c r="S447" s="374" t="s">
        <v>1842</v>
      </c>
    </row>
    <row r="448" spans="1:19" x14ac:dyDescent="0.25">
      <c r="A448" s="406"/>
      <c r="B448" s="310"/>
      <c r="C448" s="22" t="s">
        <v>32</v>
      </c>
      <c r="D448" s="23">
        <v>253.9</v>
      </c>
      <c r="E448" s="23">
        <v>253.9</v>
      </c>
      <c r="F448" s="23">
        <v>213.9</v>
      </c>
      <c r="G448" s="23">
        <v>40</v>
      </c>
      <c r="H448" s="54">
        <v>40</v>
      </c>
      <c r="I448" s="262">
        <f t="shared" si="31"/>
        <v>0.84245766049625836</v>
      </c>
      <c r="J448" s="315"/>
      <c r="K448" s="324"/>
      <c r="L448" s="324"/>
      <c r="M448" s="381"/>
      <c r="N448" s="25"/>
      <c r="O448" s="25"/>
      <c r="P448" s="25"/>
      <c r="Q448" s="25"/>
      <c r="R448" s="298"/>
      <c r="S448" s="332"/>
    </row>
    <row r="449" spans="1:23" ht="15.75" thickBot="1" x14ac:dyDescent="0.3">
      <c r="A449" s="307"/>
      <c r="B449" s="309"/>
      <c r="C449" s="22" t="s">
        <v>177</v>
      </c>
      <c r="D449" s="23">
        <v>77.099999999999994</v>
      </c>
      <c r="E449" s="23">
        <v>77.099999999999994</v>
      </c>
      <c r="F449" s="23">
        <v>63.2</v>
      </c>
      <c r="G449" s="23">
        <v>13.9</v>
      </c>
      <c r="H449" s="23">
        <v>13.9</v>
      </c>
      <c r="I449" s="279">
        <f t="shared" si="31"/>
        <v>0.81971465629053186</v>
      </c>
      <c r="J449" s="316"/>
      <c r="K449" s="325"/>
      <c r="L449" s="325"/>
      <c r="M449" s="382"/>
      <c r="N449" s="25"/>
      <c r="O449" s="25"/>
      <c r="P449" s="25"/>
      <c r="Q449" s="25"/>
      <c r="R449" s="299"/>
      <c r="S449" s="327"/>
    </row>
    <row r="450" spans="1:23" ht="26.25" thickBot="1" x14ac:dyDescent="0.3">
      <c r="A450" s="13" t="s">
        <v>800</v>
      </c>
      <c r="B450" s="41" t="s">
        <v>801</v>
      </c>
      <c r="C450" s="14"/>
      <c r="D450" s="15">
        <f>D451+D453</f>
        <v>128.4</v>
      </c>
      <c r="E450" s="15">
        <f>E451+E453</f>
        <v>128.4</v>
      </c>
      <c r="F450" s="15">
        <f>F451+F453</f>
        <v>128.4</v>
      </c>
      <c r="G450" s="15">
        <f>G451+G453</f>
        <v>0</v>
      </c>
      <c r="H450" s="15">
        <f>H451+H453</f>
        <v>0</v>
      </c>
      <c r="I450" s="260">
        <f>SUM(F450/E450)</f>
        <v>1</v>
      </c>
      <c r="J450" s="329"/>
      <c r="K450" s="330"/>
      <c r="L450" s="330"/>
      <c r="M450" s="330"/>
      <c r="N450" s="330"/>
      <c r="O450" s="330"/>
      <c r="P450" s="330"/>
      <c r="Q450" s="330"/>
      <c r="R450" s="330"/>
      <c r="S450" s="331"/>
    </row>
    <row r="451" spans="1:23" ht="76.5" x14ac:dyDescent="0.25">
      <c r="A451" s="306" t="s">
        <v>802</v>
      </c>
      <c r="B451" s="308" t="s">
        <v>803</v>
      </c>
      <c r="C451" s="17" t="s">
        <v>32</v>
      </c>
      <c r="D451" s="18">
        <f>SUM(D452:D452)+60</f>
        <v>60</v>
      </c>
      <c r="E451" s="18">
        <f>SUM(E452:E452)+60</f>
        <v>60</v>
      </c>
      <c r="F451" s="18">
        <f>SUM(F452:F452)+60</f>
        <v>60</v>
      </c>
      <c r="G451" s="18"/>
      <c r="H451" s="18"/>
      <c r="I451" s="264">
        <f t="shared" ref="I451:I453" si="32">SUM(F451/E451)</f>
        <v>1</v>
      </c>
      <c r="J451" s="48" t="s">
        <v>804</v>
      </c>
      <c r="K451" s="19" t="s">
        <v>29</v>
      </c>
      <c r="L451" s="19">
        <v>11</v>
      </c>
      <c r="M451" s="111">
        <v>11</v>
      </c>
      <c r="N451" s="20"/>
      <c r="O451" s="20"/>
      <c r="P451" s="20"/>
      <c r="Q451" s="20"/>
      <c r="R451" s="308" t="s">
        <v>805</v>
      </c>
      <c r="S451" s="303"/>
    </row>
    <row r="452" spans="1:23" ht="26.25" thickBot="1" x14ac:dyDescent="0.3">
      <c r="A452" s="307"/>
      <c r="B452" s="309"/>
      <c r="C452" s="22"/>
      <c r="D452" s="23"/>
      <c r="E452" s="23"/>
      <c r="F452" s="23"/>
      <c r="G452" s="23"/>
      <c r="H452" s="23"/>
      <c r="I452" s="279"/>
      <c r="J452" s="49" t="s">
        <v>806</v>
      </c>
      <c r="K452" s="24" t="s">
        <v>57</v>
      </c>
      <c r="L452" s="24">
        <v>6</v>
      </c>
      <c r="M452" s="104">
        <v>6</v>
      </c>
      <c r="N452" s="25"/>
      <c r="O452" s="25"/>
      <c r="P452" s="25"/>
      <c r="Q452" s="25"/>
      <c r="R452" s="309"/>
      <c r="S452" s="305"/>
    </row>
    <row r="453" spans="1:23" ht="77.25" thickBot="1" x14ac:dyDescent="0.3">
      <c r="A453" s="16" t="s">
        <v>807</v>
      </c>
      <c r="B453" s="42" t="s">
        <v>808</v>
      </c>
      <c r="C453" s="17" t="s">
        <v>32</v>
      </c>
      <c r="D453" s="26">
        <v>68.400000000000006</v>
      </c>
      <c r="E453" s="26">
        <v>68.400000000000006</v>
      </c>
      <c r="F453" s="26">
        <v>68.400000000000006</v>
      </c>
      <c r="G453" s="26"/>
      <c r="H453" s="26"/>
      <c r="I453" s="264">
        <f t="shared" si="32"/>
        <v>1</v>
      </c>
      <c r="J453" s="48" t="s">
        <v>809</v>
      </c>
      <c r="K453" s="19" t="s">
        <v>29</v>
      </c>
      <c r="L453" s="19">
        <v>18.3</v>
      </c>
      <c r="M453" s="108">
        <v>23.7</v>
      </c>
      <c r="N453" s="20"/>
      <c r="O453" s="20"/>
      <c r="P453" s="20"/>
      <c r="Q453" s="20"/>
      <c r="R453" s="48" t="s">
        <v>810</v>
      </c>
      <c r="S453" s="52"/>
    </row>
    <row r="454" spans="1:23" ht="39" thickBot="1" x14ac:dyDescent="0.3">
      <c r="A454" s="5" t="s">
        <v>811</v>
      </c>
      <c r="B454" s="39" t="s">
        <v>812</v>
      </c>
      <c r="C454" s="6"/>
      <c r="D454" s="7">
        <f>D455+D571</f>
        <v>140616.1</v>
      </c>
      <c r="E454" s="7">
        <f>E455+E571</f>
        <v>140616.1</v>
      </c>
      <c r="F454" s="7">
        <f>F455+F571</f>
        <v>131939</v>
      </c>
      <c r="G454" s="7">
        <f>G455+G571</f>
        <v>8677.1</v>
      </c>
      <c r="H454" s="7">
        <f>H455+H571</f>
        <v>8677.1</v>
      </c>
      <c r="I454" s="258">
        <f>SUM(F454/E454)</f>
        <v>0.93829227236425983</v>
      </c>
      <c r="J454" s="452"/>
      <c r="K454" s="453"/>
      <c r="L454" s="453"/>
      <c r="M454" s="453"/>
      <c r="N454" s="453"/>
      <c r="O454" s="453"/>
      <c r="P454" s="453"/>
      <c r="Q454" s="453"/>
      <c r="R454" s="453"/>
      <c r="S454" s="454"/>
      <c r="U454" s="240"/>
      <c r="V454" s="241" t="s">
        <v>1</v>
      </c>
      <c r="W454" s="292" t="s">
        <v>1942</v>
      </c>
    </row>
    <row r="455" spans="1:23" ht="38.25" customHeight="1" x14ac:dyDescent="0.25">
      <c r="A455" s="458" t="s">
        <v>813</v>
      </c>
      <c r="B455" s="449" t="s">
        <v>814</v>
      </c>
      <c r="C455" s="9"/>
      <c r="D455" s="10">
        <f>D456+D457+D483</f>
        <v>119916.20000000001</v>
      </c>
      <c r="E455" s="10">
        <f>E456+E457+E483</f>
        <v>119916.20000000001</v>
      </c>
      <c r="F455" s="10">
        <f>F456+F457+F483</f>
        <v>116133.6</v>
      </c>
      <c r="G455" s="10">
        <f>G456+G457+G483</f>
        <v>3782.6</v>
      </c>
      <c r="H455" s="10">
        <f>H456+H457+H483</f>
        <v>3782.6</v>
      </c>
      <c r="I455" s="259">
        <f>SUM(F455/E455)</f>
        <v>0.96845630531988169</v>
      </c>
      <c r="J455" s="47" t="s">
        <v>815</v>
      </c>
      <c r="K455" s="11" t="s">
        <v>29</v>
      </c>
      <c r="L455" s="11">
        <v>100</v>
      </c>
      <c r="M455" s="11">
        <v>100</v>
      </c>
      <c r="N455" s="12"/>
      <c r="O455" s="12"/>
      <c r="P455" s="12"/>
      <c r="Q455" s="12"/>
      <c r="R455" s="400"/>
      <c r="S455" s="401"/>
      <c r="U455" s="242"/>
      <c r="V455" s="243" t="s">
        <v>1930</v>
      </c>
      <c r="W455" s="244">
        <v>18</v>
      </c>
    </row>
    <row r="456" spans="1:23" ht="39" thickBot="1" x14ac:dyDescent="0.3">
      <c r="A456" s="460"/>
      <c r="B456" s="451"/>
      <c r="C456" s="65"/>
      <c r="D456" s="66"/>
      <c r="E456" s="66"/>
      <c r="F456" s="66"/>
      <c r="G456" s="66"/>
      <c r="H456" s="66"/>
      <c r="I456" s="280"/>
      <c r="J456" s="64" t="s">
        <v>816</v>
      </c>
      <c r="K456" s="62" t="s">
        <v>57</v>
      </c>
      <c r="L456" s="95">
        <v>13800</v>
      </c>
      <c r="M456" s="95">
        <v>14000</v>
      </c>
      <c r="N456" s="63"/>
      <c r="O456" s="63"/>
      <c r="P456" s="63"/>
      <c r="Q456" s="63"/>
      <c r="R456" s="402"/>
      <c r="S456" s="403"/>
      <c r="U456" s="249"/>
      <c r="V456" s="243" t="s">
        <v>1931</v>
      </c>
      <c r="W456" s="244">
        <v>1</v>
      </c>
    </row>
    <row r="457" spans="1:23" ht="32.25" thickBot="1" x14ac:dyDescent="0.3">
      <c r="A457" s="13" t="s">
        <v>817</v>
      </c>
      <c r="B457" s="41" t="s">
        <v>818</v>
      </c>
      <c r="C457" s="14"/>
      <c r="D457" s="15">
        <f>D458+D466+D467+D471+D481+D482</f>
        <v>998.9</v>
      </c>
      <c r="E457" s="15">
        <f>E458+E466+E467+E471+E481+E482</f>
        <v>998.9</v>
      </c>
      <c r="F457" s="15">
        <f>F458+F466+F467+F471+F481+F482-0.1</f>
        <v>979.4</v>
      </c>
      <c r="G457" s="15">
        <f>G458+G466+G467+G471+G481+G482+0.1</f>
        <v>19.5</v>
      </c>
      <c r="H457" s="15">
        <f>H458+H466+H467+H471+H481+H482+0.1</f>
        <v>19.5</v>
      </c>
      <c r="I457" s="260">
        <f>SUM(F457/E457)</f>
        <v>0.98047852637901689</v>
      </c>
      <c r="J457" s="329"/>
      <c r="K457" s="330"/>
      <c r="L457" s="330"/>
      <c r="M457" s="330"/>
      <c r="N457" s="330"/>
      <c r="O457" s="330"/>
      <c r="P457" s="330"/>
      <c r="Q457" s="330"/>
      <c r="R457" s="330"/>
      <c r="S457" s="331"/>
      <c r="U457" s="245"/>
      <c r="V457" s="243" t="s">
        <v>1932</v>
      </c>
      <c r="W457" s="246">
        <v>14</v>
      </c>
    </row>
    <row r="458" spans="1:23" ht="38.25" x14ac:dyDescent="0.25">
      <c r="A458" s="306" t="s">
        <v>819</v>
      </c>
      <c r="B458" s="308" t="s">
        <v>820</v>
      </c>
      <c r="C458" s="17" t="s">
        <v>32</v>
      </c>
      <c r="D458" s="18">
        <f>SUM(D459:D465)+236.1</f>
        <v>236.1</v>
      </c>
      <c r="E458" s="18">
        <f>SUM(E459:E465)+236.1</f>
        <v>236.1</v>
      </c>
      <c r="F458" s="18">
        <f>SUM(F459:F465)+224.1</f>
        <v>224.1</v>
      </c>
      <c r="G458" s="18">
        <f>SUM(G459:G465)+12</f>
        <v>12</v>
      </c>
      <c r="H458" s="18">
        <f>SUM(H459:H465)+12</f>
        <v>12</v>
      </c>
      <c r="I458" s="264">
        <f t="shared" ref="I458" si="33">SUM(F458/E458)</f>
        <v>0.9491740787801779</v>
      </c>
      <c r="J458" s="48" t="s">
        <v>821</v>
      </c>
      <c r="K458" s="19" t="s">
        <v>57</v>
      </c>
      <c r="L458" s="19">
        <v>4</v>
      </c>
      <c r="M458" s="111">
        <v>4</v>
      </c>
      <c r="N458" s="20"/>
      <c r="O458" s="20"/>
      <c r="P458" s="20"/>
      <c r="Q458" s="20"/>
      <c r="R458" s="48" t="s">
        <v>822</v>
      </c>
      <c r="S458" s="52"/>
      <c r="U458" s="250"/>
      <c r="V458" s="243" t="s">
        <v>1933</v>
      </c>
      <c r="W458" s="246">
        <v>7</v>
      </c>
    </row>
    <row r="459" spans="1:23" ht="51.75" customHeight="1" x14ac:dyDescent="0.25">
      <c r="A459" s="406"/>
      <c r="B459" s="310"/>
      <c r="C459" s="22"/>
      <c r="D459" s="23"/>
      <c r="E459" s="23"/>
      <c r="F459" s="23"/>
      <c r="G459" s="23"/>
      <c r="H459" s="23"/>
      <c r="I459" s="269"/>
      <c r="J459" s="49" t="s">
        <v>823</v>
      </c>
      <c r="K459" s="24" t="s">
        <v>57</v>
      </c>
      <c r="L459" s="24">
        <v>100</v>
      </c>
      <c r="M459" s="109">
        <v>74</v>
      </c>
      <c r="N459" s="25"/>
      <c r="O459" s="25"/>
      <c r="P459" s="25"/>
      <c r="Q459" s="25"/>
      <c r="R459" s="49" t="s">
        <v>824</v>
      </c>
      <c r="S459" s="53" t="s">
        <v>1706</v>
      </c>
      <c r="U459" s="247"/>
      <c r="V459" s="243" t="s">
        <v>1934</v>
      </c>
      <c r="W459" s="246">
        <v>6</v>
      </c>
    </row>
    <row r="460" spans="1:23" ht="25.5" x14ac:dyDescent="0.25">
      <c r="A460" s="406"/>
      <c r="B460" s="310"/>
      <c r="C460" s="22"/>
      <c r="D460" s="23"/>
      <c r="E460" s="23"/>
      <c r="F460" s="23"/>
      <c r="G460" s="23"/>
      <c r="H460" s="23"/>
      <c r="I460" s="269"/>
      <c r="J460" s="49" t="s">
        <v>825</v>
      </c>
      <c r="K460" s="24" t="s">
        <v>57</v>
      </c>
      <c r="L460" s="24">
        <v>10</v>
      </c>
      <c r="M460" s="104">
        <v>10</v>
      </c>
      <c r="N460" s="25"/>
      <c r="O460" s="25"/>
      <c r="P460" s="25"/>
      <c r="Q460" s="25"/>
      <c r="R460" s="145"/>
      <c r="S460" s="53"/>
      <c r="U460" s="240"/>
      <c r="V460" s="248" t="s">
        <v>1935</v>
      </c>
      <c r="W460" s="246">
        <f>+SUM(W455:W459)</f>
        <v>46</v>
      </c>
    </row>
    <row r="461" spans="1:23" ht="38.25" x14ac:dyDescent="0.25">
      <c r="A461" s="406"/>
      <c r="B461" s="310"/>
      <c r="C461" s="22"/>
      <c r="D461" s="23"/>
      <c r="E461" s="23"/>
      <c r="F461" s="23"/>
      <c r="G461" s="23"/>
      <c r="H461" s="23"/>
      <c r="I461" s="269"/>
      <c r="J461" s="49" t="s">
        <v>826</v>
      </c>
      <c r="K461" s="24" t="s">
        <v>57</v>
      </c>
      <c r="L461" s="24">
        <v>100</v>
      </c>
      <c r="M461" s="109">
        <v>51</v>
      </c>
      <c r="N461" s="25"/>
      <c r="O461" s="25"/>
      <c r="P461" s="25"/>
      <c r="Q461" s="25"/>
      <c r="R461" s="49" t="s">
        <v>1745</v>
      </c>
      <c r="S461" s="53" t="s">
        <v>1706</v>
      </c>
    </row>
    <row r="462" spans="1:23" ht="230.25" customHeight="1" x14ac:dyDescent="0.25">
      <c r="A462" s="406"/>
      <c r="B462" s="310"/>
      <c r="C462" s="22"/>
      <c r="D462" s="23"/>
      <c r="E462" s="23"/>
      <c r="F462" s="23"/>
      <c r="G462" s="23"/>
      <c r="H462" s="23"/>
      <c r="I462" s="269"/>
      <c r="J462" s="49" t="s">
        <v>827</v>
      </c>
      <c r="K462" s="24" t="s">
        <v>57</v>
      </c>
      <c r="L462" s="24">
        <v>360</v>
      </c>
      <c r="M462" s="110">
        <v>611</v>
      </c>
      <c r="N462" s="25"/>
      <c r="O462" s="25"/>
      <c r="P462" s="25"/>
      <c r="Q462" s="25"/>
      <c r="R462" s="85" t="s">
        <v>1843</v>
      </c>
      <c r="S462" s="156"/>
      <c r="T462" s="256"/>
    </row>
    <row r="463" spans="1:23" ht="25.5" x14ac:dyDescent="0.25">
      <c r="A463" s="406"/>
      <c r="B463" s="310"/>
      <c r="C463" s="22"/>
      <c r="D463" s="23"/>
      <c r="E463" s="23"/>
      <c r="F463" s="23"/>
      <c r="G463" s="23"/>
      <c r="H463" s="23"/>
      <c r="I463" s="269"/>
      <c r="J463" s="49" t="s">
        <v>828</v>
      </c>
      <c r="K463" s="24" t="s">
        <v>57</v>
      </c>
      <c r="L463" s="94">
        <v>1200</v>
      </c>
      <c r="M463" s="114">
        <v>1294</v>
      </c>
      <c r="N463" s="25"/>
      <c r="O463" s="25"/>
      <c r="P463" s="25"/>
      <c r="Q463" s="25"/>
      <c r="R463" s="145"/>
      <c r="S463" s="53"/>
    </row>
    <row r="464" spans="1:23" ht="51" x14ac:dyDescent="0.25">
      <c r="A464" s="406"/>
      <c r="B464" s="310"/>
      <c r="C464" s="22"/>
      <c r="D464" s="23"/>
      <c r="E464" s="23"/>
      <c r="F464" s="23"/>
      <c r="G464" s="23"/>
      <c r="H464" s="23"/>
      <c r="I464" s="269"/>
      <c r="J464" s="49" t="s">
        <v>829</v>
      </c>
      <c r="K464" s="24" t="s">
        <v>57</v>
      </c>
      <c r="L464" s="94">
        <v>1</v>
      </c>
      <c r="M464" s="127">
        <v>1</v>
      </c>
      <c r="N464" s="25"/>
      <c r="O464" s="25"/>
      <c r="P464" s="25"/>
      <c r="Q464" s="25"/>
      <c r="R464" s="49" t="s">
        <v>830</v>
      </c>
      <c r="S464" s="53"/>
    </row>
    <row r="465" spans="1:19" ht="64.5" thickBot="1" x14ac:dyDescent="0.3">
      <c r="A465" s="307"/>
      <c r="B465" s="309"/>
      <c r="C465" s="22"/>
      <c r="D465" s="23"/>
      <c r="E465" s="23"/>
      <c r="F465" s="23"/>
      <c r="G465" s="23"/>
      <c r="H465" s="23"/>
      <c r="I465" s="269"/>
      <c r="J465" s="49" t="s">
        <v>831</v>
      </c>
      <c r="K465" s="24" t="s">
        <v>57</v>
      </c>
      <c r="L465" s="94">
        <v>2000</v>
      </c>
      <c r="M465" s="131">
        <v>1940</v>
      </c>
      <c r="N465" s="25"/>
      <c r="O465" s="25"/>
      <c r="P465" s="25"/>
      <c r="Q465" s="25"/>
      <c r="R465" s="49" t="s">
        <v>832</v>
      </c>
      <c r="S465" s="53" t="s">
        <v>1706</v>
      </c>
    </row>
    <row r="466" spans="1:19" ht="65.25" customHeight="1" thickBot="1" x14ac:dyDescent="0.3">
      <c r="A466" s="16" t="s">
        <v>833</v>
      </c>
      <c r="B466" s="42" t="s">
        <v>834</v>
      </c>
      <c r="C466" s="17" t="s">
        <v>32</v>
      </c>
      <c r="D466" s="26">
        <v>192.8</v>
      </c>
      <c r="E466" s="26">
        <v>192.8</v>
      </c>
      <c r="F466" s="26">
        <v>192.8</v>
      </c>
      <c r="G466" s="26"/>
      <c r="H466" s="26"/>
      <c r="I466" s="264">
        <f t="shared" ref="I466:I467" si="34">SUM(F466/E466)</f>
        <v>1</v>
      </c>
      <c r="J466" s="48" t="s">
        <v>835</v>
      </c>
      <c r="K466" s="19" t="s">
        <v>22</v>
      </c>
      <c r="L466" s="19">
        <v>30</v>
      </c>
      <c r="M466" s="111">
        <v>30</v>
      </c>
      <c r="N466" s="20"/>
      <c r="O466" s="20"/>
      <c r="P466" s="20"/>
      <c r="Q466" s="20"/>
      <c r="R466" s="147"/>
      <c r="S466" s="52"/>
    </row>
    <row r="467" spans="1:19" ht="38.25" customHeight="1" x14ac:dyDescent="0.25">
      <c r="A467" s="306" t="s">
        <v>836</v>
      </c>
      <c r="B467" s="308" t="s">
        <v>837</v>
      </c>
      <c r="C467" s="17" t="s">
        <v>32</v>
      </c>
      <c r="D467" s="18">
        <f>SUM(D468:D470)+5</f>
        <v>5</v>
      </c>
      <c r="E467" s="18">
        <f>SUM(E468:E470)+5</f>
        <v>5</v>
      </c>
      <c r="F467" s="18">
        <f>SUM(F468:F470)+4.7</f>
        <v>4.7</v>
      </c>
      <c r="G467" s="18">
        <f>SUM(G468:G470)+0.3</f>
        <v>0.3</v>
      </c>
      <c r="H467" s="18">
        <f>SUM(H468:H470)+0.3</f>
        <v>0.3</v>
      </c>
      <c r="I467" s="264">
        <f t="shared" si="34"/>
        <v>0.94000000000000006</v>
      </c>
      <c r="J467" s="48" t="s">
        <v>838</v>
      </c>
      <c r="K467" s="19" t="s">
        <v>22</v>
      </c>
      <c r="L467" s="19">
        <v>1</v>
      </c>
      <c r="M467" s="111">
        <v>1</v>
      </c>
      <c r="N467" s="20"/>
      <c r="O467" s="20"/>
      <c r="P467" s="20"/>
      <c r="Q467" s="20"/>
      <c r="R467" s="311"/>
      <c r="S467" s="294"/>
    </row>
    <row r="468" spans="1:19" ht="38.25" x14ac:dyDescent="0.25">
      <c r="A468" s="406"/>
      <c r="B468" s="310"/>
      <c r="C468" s="22"/>
      <c r="D468" s="23"/>
      <c r="E468" s="23"/>
      <c r="F468" s="23"/>
      <c r="G468" s="23"/>
      <c r="H468" s="23"/>
      <c r="I468" s="269"/>
      <c r="J468" s="49" t="s">
        <v>839</v>
      </c>
      <c r="K468" s="24" t="s">
        <v>22</v>
      </c>
      <c r="L468" s="24">
        <v>1</v>
      </c>
      <c r="M468" s="104">
        <v>1</v>
      </c>
      <c r="N468" s="25"/>
      <c r="O468" s="25"/>
      <c r="P468" s="25"/>
      <c r="Q468" s="25"/>
      <c r="R468" s="312"/>
      <c r="S468" s="295"/>
    </row>
    <row r="469" spans="1:19" ht="25.5" x14ac:dyDescent="0.25">
      <c r="A469" s="406"/>
      <c r="B469" s="310"/>
      <c r="C469" s="22"/>
      <c r="D469" s="23"/>
      <c r="E469" s="23"/>
      <c r="F469" s="23"/>
      <c r="G469" s="23"/>
      <c r="H469" s="23"/>
      <c r="I469" s="269"/>
      <c r="J469" s="49" t="s">
        <v>840</v>
      </c>
      <c r="K469" s="24" t="s">
        <v>57</v>
      </c>
      <c r="L469" s="24">
        <v>1</v>
      </c>
      <c r="M469" s="104">
        <v>1</v>
      </c>
      <c r="N469" s="25"/>
      <c r="O469" s="25"/>
      <c r="P469" s="25"/>
      <c r="Q469" s="25"/>
      <c r="R469" s="312"/>
      <c r="S469" s="295"/>
    </row>
    <row r="470" spans="1:19" ht="39" thickBot="1" x14ac:dyDescent="0.3">
      <c r="A470" s="307"/>
      <c r="B470" s="309"/>
      <c r="C470" s="22"/>
      <c r="D470" s="23"/>
      <c r="E470" s="23"/>
      <c r="F470" s="23"/>
      <c r="G470" s="23"/>
      <c r="H470" s="23"/>
      <c r="I470" s="269"/>
      <c r="J470" s="49" t="s">
        <v>841</v>
      </c>
      <c r="K470" s="24" t="s">
        <v>22</v>
      </c>
      <c r="L470" s="24">
        <v>1</v>
      </c>
      <c r="M470" s="104">
        <v>1</v>
      </c>
      <c r="N470" s="25"/>
      <c r="O470" s="25"/>
      <c r="P470" s="25"/>
      <c r="Q470" s="25"/>
      <c r="R470" s="313"/>
      <c r="S470" s="296"/>
    </row>
    <row r="471" spans="1:19" ht="42.75" customHeight="1" x14ac:dyDescent="0.25">
      <c r="A471" s="306" t="s">
        <v>842</v>
      </c>
      <c r="B471" s="308" t="s">
        <v>843</v>
      </c>
      <c r="C471" s="17" t="s">
        <v>32</v>
      </c>
      <c r="D471" s="18">
        <f>SUM(D472:D480)+423.9</f>
        <v>423.9</v>
      </c>
      <c r="E471" s="18">
        <f>SUM(E472:E480)+423.9</f>
        <v>423.9</v>
      </c>
      <c r="F471" s="18">
        <f>SUM(F472:F480)+416.8</f>
        <v>416.8</v>
      </c>
      <c r="G471" s="18">
        <f>SUM(G472:G480)+7.1</f>
        <v>7.1</v>
      </c>
      <c r="H471" s="18">
        <f>SUM(H472:H480)+7.1</f>
        <v>7.1</v>
      </c>
      <c r="I471" s="264">
        <f t="shared" ref="I471" si="35">SUM(F471/E471)</f>
        <v>0.98325076669025724</v>
      </c>
      <c r="J471" s="48" t="s">
        <v>844</v>
      </c>
      <c r="K471" s="19" t="s">
        <v>57</v>
      </c>
      <c r="L471" s="19">
        <v>120</v>
      </c>
      <c r="M471" s="107">
        <v>93</v>
      </c>
      <c r="N471" s="20"/>
      <c r="O471" s="20"/>
      <c r="P471" s="20"/>
      <c r="Q471" s="20"/>
      <c r="R471" s="48" t="s">
        <v>1845</v>
      </c>
      <c r="S471" s="52" t="s">
        <v>1757</v>
      </c>
    </row>
    <row r="472" spans="1:19" ht="30" customHeight="1" x14ac:dyDescent="0.25">
      <c r="A472" s="406"/>
      <c r="B472" s="310"/>
      <c r="C472" s="22"/>
      <c r="D472" s="23"/>
      <c r="E472" s="23"/>
      <c r="F472" s="23"/>
      <c r="G472" s="23"/>
      <c r="H472" s="23"/>
      <c r="I472" s="269"/>
      <c r="J472" s="49" t="s">
        <v>845</v>
      </c>
      <c r="K472" s="24" t="s">
        <v>57</v>
      </c>
      <c r="L472" s="24">
        <v>4</v>
      </c>
      <c r="M472" s="109">
        <v>3</v>
      </c>
      <c r="N472" s="25"/>
      <c r="O472" s="25"/>
      <c r="P472" s="25"/>
      <c r="Q472" s="25"/>
      <c r="R472" s="49" t="s">
        <v>846</v>
      </c>
      <c r="S472" s="53" t="s">
        <v>1749</v>
      </c>
    </row>
    <row r="473" spans="1:19" ht="89.25" x14ac:dyDescent="0.25">
      <c r="A473" s="406"/>
      <c r="B473" s="310"/>
      <c r="C473" s="22"/>
      <c r="D473" s="23"/>
      <c r="E473" s="23"/>
      <c r="F473" s="23"/>
      <c r="G473" s="23"/>
      <c r="H473" s="23"/>
      <c r="I473" s="269"/>
      <c r="J473" s="49" t="s">
        <v>847</v>
      </c>
      <c r="K473" s="24" t="s">
        <v>57</v>
      </c>
      <c r="L473" s="24">
        <v>6</v>
      </c>
      <c r="M473" s="105">
        <v>1</v>
      </c>
      <c r="N473" s="25"/>
      <c r="O473" s="25"/>
      <c r="P473" s="25"/>
      <c r="Q473" s="25"/>
      <c r="R473" s="49" t="s">
        <v>848</v>
      </c>
      <c r="S473" s="53" t="s">
        <v>1844</v>
      </c>
    </row>
    <row r="474" spans="1:19" ht="76.5" x14ac:dyDescent="0.25">
      <c r="A474" s="406"/>
      <c r="B474" s="310"/>
      <c r="C474" s="22"/>
      <c r="D474" s="23"/>
      <c r="E474" s="23"/>
      <c r="F474" s="23"/>
      <c r="G474" s="23"/>
      <c r="H474" s="23"/>
      <c r="I474" s="269"/>
      <c r="J474" s="49" t="s">
        <v>849</v>
      </c>
      <c r="K474" s="24" t="s">
        <v>57</v>
      </c>
      <c r="L474" s="24">
        <v>1</v>
      </c>
      <c r="M474" s="104">
        <v>1</v>
      </c>
      <c r="N474" s="25"/>
      <c r="O474" s="25"/>
      <c r="P474" s="25"/>
      <c r="Q474" s="25"/>
      <c r="R474" s="85" t="s">
        <v>1750</v>
      </c>
      <c r="S474" s="53"/>
    </row>
    <row r="475" spans="1:19" ht="54" customHeight="1" x14ac:dyDescent="0.25">
      <c r="A475" s="406"/>
      <c r="B475" s="310"/>
      <c r="C475" s="22"/>
      <c r="D475" s="23"/>
      <c r="E475" s="23"/>
      <c r="F475" s="23"/>
      <c r="G475" s="23"/>
      <c r="H475" s="23"/>
      <c r="I475" s="269"/>
      <c r="J475" s="49" t="s">
        <v>850</v>
      </c>
      <c r="K475" s="24" t="s">
        <v>57</v>
      </c>
      <c r="L475" s="24">
        <v>10</v>
      </c>
      <c r="M475" s="104">
        <v>10</v>
      </c>
      <c r="N475" s="25"/>
      <c r="O475" s="25"/>
      <c r="P475" s="25"/>
      <c r="Q475" s="25"/>
      <c r="R475" s="49" t="s">
        <v>851</v>
      </c>
      <c r="S475" s="53"/>
    </row>
    <row r="476" spans="1:19" ht="38.25" x14ac:dyDescent="0.25">
      <c r="A476" s="406"/>
      <c r="B476" s="310"/>
      <c r="C476" s="22"/>
      <c r="D476" s="23"/>
      <c r="E476" s="23"/>
      <c r="F476" s="23"/>
      <c r="G476" s="23"/>
      <c r="H476" s="23"/>
      <c r="I476" s="269"/>
      <c r="J476" s="49" t="s">
        <v>852</v>
      </c>
      <c r="K476" s="24" t="s">
        <v>57</v>
      </c>
      <c r="L476" s="24">
        <v>45</v>
      </c>
      <c r="M476" s="110">
        <v>62</v>
      </c>
      <c r="N476" s="25"/>
      <c r="O476" s="25"/>
      <c r="P476" s="25"/>
      <c r="Q476" s="25"/>
      <c r="R476" s="49" t="s">
        <v>853</v>
      </c>
      <c r="S476" s="143"/>
    </row>
    <row r="477" spans="1:19" ht="25.5" x14ac:dyDescent="0.25">
      <c r="A477" s="406"/>
      <c r="B477" s="310"/>
      <c r="C477" s="22"/>
      <c r="D477" s="23"/>
      <c r="E477" s="23"/>
      <c r="F477" s="23"/>
      <c r="G477" s="23"/>
      <c r="H477" s="23"/>
      <c r="I477" s="269"/>
      <c r="J477" s="49" t="s">
        <v>854</v>
      </c>
      <c r="K477" s="24" t="s">
        <v>57</v>
      </c>
      <c r="L477" s="24">
        <v>2</v>
      </c>
      <c r="M477" s="104">
        <v>2</v>
      </c>
      <c r="N477" s="25"/>
      <c r="O477" s="25"/>
      <c r="P477" s="25"/>
      <c r="Q477" s="25"/>
      <c r="R477" s="49" t="s">
        <v>855</v>
      </c>
      <c r="S477" s="53"/>
    </row>
    <row r="478" spans="1:19" ht="76.5" x14ac:dyDescent="0.25">
      <c r="A478" s="406"/>
      <c r="B478" s="310"/>
      <c r="C478" s="22"/>
      <c r="D478" s="23"/>
      <c r="E478" s="23"/>
      <c r="F478" s="23"/>
      <c r="G478" s="23"/>
      <c r="H478" s="23"/>
      <c r="I478" s="269"/>
      <c r="J478" s="49" t="s">
        <v>856</v>
      </c>
      <c r="K478" s="24" t="s">
        <v>57</v>
      </c>
      <c r="L478" s="94">
        <v>2400</v>
      </c>
      <c r="M478" s="114">
        <v>2474</v>
      </c>
      <c r="N478" s="25"/>
      <c r="O478" s="25"/>
      <c r="P478" s="25"/>
      <c r="Q478" s="25"/>
      <c r="R478" s="49" t="s">
        <v>857</v>
      </c>
      <c r="S478" s="53"/>
    </row>
    <row r="479" spans="1:19" ht="63.75" x14ac:dyDescent="0.25">
      <c r="A479" s="406"/>
      <c r="B479" s="310"/>
      <c r="C479" s="22"/>
      <c r="D479" s="23"/>
      <c r="E479" s="23"/>
      <c r="F479" s="23"/>
      <c r="G479" s="23"/>
      <c r="H479" s="23"/>
      <c r="I479" s="269"/>
      <c r="J479" s="49" t="s">
        <v>858</v>
      </c>
      <c r="K479" s="24" t="s">
        <v>57</v>
      </c>
      <c r="L479" s="94">
        <v>1000</v>
      </c>
      <c r="M479" s="114">
        <v>1167</v>
      </c>
      <c r="N479" s="25"/>
      <c r="O479" s="25"/>
      <c r="P479" s="25"/>
      <c r="Q479" s="25"/>
      <c r="R479" s="49" t="s">
        <v>859</v>
      </c>
      <c r="S479" s="53"/>
    </row>
    <row r="480" spans="1:19" ht="51.75" thickBot="1" x14ac:dyDescent="0.3">
      <c r="A480" s="307"/>
      <c r="B480" s="309"/>
      <c r="C480" s="22"/>
      <c r="D480" s="23"/>
      <c r="E480" s="23"/>
      <c r="F480" s="23"/>
      <c r="G480" s="23"/>
      <c r="H480" s="23"/>
      <c r="I480" s="269"/>
      <c r="J480" s="49" t="s">
        <v>860</v>
      </c>
      <c r="K480" s="24" t="s">
        <v>57</v>
      </c>
      <c r="L480" s="24">
        <v>2</v>
      </c>
      <c r="M480" s="104">
        <v>2</v>
      </c>
      <c r="N480" s="25"/>
      <c r="O480" s="25"/>
      <c r="P480" s="25"/>
      <c r="Q480" s="25"/>
      <c r="R480" s="49" t="s">
        <v>1746</v>
      </c>
      <c r="S480" s="53"/>
    </row>
    <row r="481" spans="1:19" ht="39" thickBot="1" x14ac:dyDescent="0.3">
      <c r="A481" s="16" t="s">
        <v>861</v>
      </c>
      <c r="B481" s="42" t="s">
        <v>862</v>
      </c>
      <c r="C481" s="17" t="s">
        <v>32</v>
      </c>
      <c r="D481" s="26">
        <v>30</v>
      </c>
      <c r="E481" s="26">
        <v>30</v>
      </c>
      <c r="F481" s="26">
        <v>30</v>
      </c>
      <c r="G481" s="26"/>
      <c r="H481" s="26"/>
      <c r="I481" s="264">
        <f t="shared" ref="I481:I482" si="36">SUM(F481/E481)</f>
        <v>1</v>
      </c>
      <c r="J481" s="48" t="s">
        <v>863</v>
      </c>
      <c r="K481" s="19" t="s">
        <v>57</v>
      </c>
      <c r="L481" s="19">
        <v>11</v>
      </c>
      <c r="M481" s="111">
        <v>11</v>
      </c>
      <c r="N481" s="20"/>
      <c r="O481" s="20"/>
      <c r="P481" s="20"/>
      <c r="Q481" s="20"/>
      <c r="R481" s="48" t="s">
        <v>864</v>
      </c>
      <c r="S481" s="52"/>
    </row>
    <row r="482" spans="1:19" ht="106.5" customHeight="1" thickBot="1" x14ac:dyDescent="0.3">
      <c r="A482" s="16" t="s">
        <v>865</v>
      </c>
      <c r="B482" s="42" t="s">
        <v>866</v>
      </c>
      <c r="C482" s="17" t="s">
        <v>32</v>
      </c>
      <c r="D482" s="26">
        <v>111.1</v>
      </c>
      <c r="E482" s="26">
        <v>111.1</v>
      </c>
      <c r="F482" s="26">
        <v>111.1</v>
      </c>
      <c r="G482" s="26"/>
      <c r="H482" s="26"/>
      <c r="I482" s="264">
        <f t="shared" si="36"/>
        <v>1</v>
      </c>
      <c r="J482" s="48" t="s">
        <v>867</v>
      </c>
      <c r="K482" s="19" t="s">
        <v>57</v>
      </c>
      <c r="L482" s="19">
        <v>6</v>
      </c>
      <c r="M482" s="111">
        <v>6</v>
      </c>
      <c r="N482" s="20"/>
      <c r="O482" s="20"/>
      <c r="P482" s="20"/>
      <c r="Q482" s="20"/>
      <c r="R482" s="48" t="s">
        <v>868</v>
      </c>
      <c r="S482" s="52"/>
    </row>
    <row r="483" spans="1:19" ht="26.25" thickBot="1" x14ac:dyDescent="0.3">
      <c r="A483" s="13" t="s">
        <v>869</v>
      </c>
      <c r="B483" s="41" t="s">
        <v>870</v>
      </c>
      <c r="C483" s="14"/>
      <c r="D483" s="15">
        <f>D484+D493+D497+D498+D515+D524+D527+D528+D537+D538+D539+D555+D556+D557+D561+D562+D565+D568-0.1</f>
        <v>118917.30000000002</v>
      </c>
      <c r="E483" s="15">
        <f>E484+E493+E497+E498+E515+E524+E527+E528+E537+E538+E539+E555+E556+E557+E561+E562+E565+E568-0.1</f>
        <v>118917.30000000002</v>
      </c>
      <c r="F483" s="15">
        <f>F484+F493+F497+F498+F515+F524+F527+F528+F537+F538+F539+F555+F556+F557+F561+F562+F565+F568</f>
        <v>115154.20000000001</v>
      </c>
      <c r="G483" s="15">
        <f>G484+G493+G497+G498+G515+G524+G527+G528+G537+G538+G539+G555+G556+G557+G561+G562+G565+G568</f>
        <v>3763.1</v>
      </c>
      <c r="H483" s="15">
        <f>H484+H493+H497+H498+H515+H524+H527+H528+H537+H538+H539+H555+H556+H557+H561+H562+H565+H568</f>
        <v>3763.1</v>
      </c>
      <c r="I483" s="260">
        <f>SUM(F483/E483)</f>
        <v>0.96835531920082274</v>
      </c>
      <c r="J483" s="329"/>
      <c r="K483" s="330"/>
      <c r="L483" s="330"/>
      <c r="M483" s="330"/>
      <c r="N483" s="330"/>
      <c r="O483" s="330"/>
      <c r="P483" s="330"/>
      <c r="Q483" s="330"/>
      <c r="R483" s="330"/>
      <c r="S483" s="331"/>
    </row>
    <row r="484" spans="1:19" ht="33" customHeight="1" x14ac:dyDescent="0.25">
      <c r="A484" s="306" t="s">
        <v>871</v>
      </c>
      <c r="B484" s="308" t="s">
        <v>872</v>
      </c>
      <c r="C484" s="17"/>
      <c r="D484" s="18">
        <f>SUM(D485:D492)</f>
        <v>75446.100000000006</v>
      </c>
      <c r="E484" s="18">
        <f>SUM(E485:E492)</f>
        <v>75446.100000000006</v>
      </c>
      <c r="F484" s="18">
        <f>SUM(F485:F492)-0.1</f>
        <v>73268.600000000006</v>
      </c>
      <c r="G484" s="18">
        <f>SUM(G485:G492)</f>
        <v>2177.5</v>
      </c>
      <c r="H484" s="18">
        <f>SUM(H485:H492)</f>
        <v>2177.5</v>
      </c>
      <c r="I484" s="261">
        <f t="shared" ref="I484:I495" si="37">SUM(F484/E484)</f>
        <v>0.97113833584506026</v>
      </c>
      <c r="J484" s="48" t="s">
        <v>873</v>
      </c>
      <c r="K484" s="19" t="s">
        <v>57</v>
      </c>
      <c r="L484" s="19">
        <v>30</v>
      </c>
      <c r="M484" s="111">
        <v>30</v>
      </c>
      <c r="N484" s="20"/>
      <c r="O484" s="20"/>
      <c r="P484" s="20"/>
      <c r="Q484" s="20"/>
      <c r="R484" s="48" t="s">
        <v>874</v>
      </c>
      <c r="S484" s="120"/>
    </row>
    <row r="485" spans="1:19" ht="38.25" x14ac:dyDescent="0.25">
      <c r="A485" s="406"/>
      <c r="B485" s="310"/>
      <c r="C485" s="22" t="s">
        <v>172</v>
      </c>
      <c r="D485" s="23">
        <v>885.4</v>
      </c>
      <c r="E485" s="23">
        <v>885.4</v>
      </c>
      <c r="F485" s="23">
        <v>508.4</v>
      </c>
      <c r="G485" s="23">
        <v>377</v>
      </c>
      <c r="H485" s="54">
        <v>377</v>
      </c>
      <c r="I485" s="262">
        <f t="shared" si="37"/>
        <v>0.57420374971764176</v>
      </c>
      <c r="J485" s="55" t="s">
        <v>875</v>
      </c>
      <c r="K485" s="24" t="s">
        <v>57</v>
      </c>
      <c r="L485" s="94">
        <v>14300</v>
      </c>
      <c r="M485" s="114">
        <v>14439</v>
      </c>
      <c r="N485" s="25"/>
      <c r="O485" s="25"/>
      <c r="P485" s="25"/>
      <c r="Q485" s="25"/>
      <c r="R485" s="49"/>
      <c r="S485" s="53"/>
    </row>
    <row r="486" spans="1:19" ht="25.5" x14ac:dyDescent="0.25">
      <c r="A486" s="406"/>
      <c r="B486" s="310"/>
      <c r="C486" s="22" t="s">
        <v>30</v>
      </c>
      <c r="D486" s="23">
        <v>465</v>
      </c>
      <c r="E486" s="23">
        <v>465</v>
      </c>
      <c r="F486" s="23">
        <v>456.3</v>
      </c>
      <c r="G486" s="23">
        <v>8.6</v>
      </c>
      <c r="H486" s="54">
        <v>8.6</v>
      </c>
      <c r="I486" s="262">
        <f t="shared" si="37"/>
        <v>0.98129032258064519</v>
      </c>
      <c r="J486" s="55" t="s">
        <v>876</v>
      </c>
      <c r="K486" s="24" t="s">
        <v>22</v>
      </c>
      <c r="L486" s="94">
        <v>1</v>
      </c>
      <c r="M486" s="127">
        <v>1</v>
      </c>
      <c r="N486" s="25"/>
      <c r="O486" s="25"/>
      <c r="P486" s="25"/>
      <c r="Q486" s="25"/>
      <c r="R486" s="49"/>
      <c r="S486" s="53"/>
    </row>
    <row r="487" spans="1:19" ht="63.75" x14ac:dyDescent="0.25">
      <c r="A487" s="406"/>
      <c r="B487" s="310"/>
      <c r="C487" s="22" t="s">
        <v>32</v>
      </c>
      <c r="D487" s="23">
        <v>14562.9</v>
      </c>
      <c r="E487" s="23">
        <v>14562.9</v>
      </c>
      <c r="F487" s="23">
        <v>14002.1</v>
      </c>
      <c r="G487" s="23">
        <v>560.9</v>
      </c>
      <c r="H487" s="54">
        <v>560.9</v>
      </c>
      <c r="I487" s="262">
        <f t="shared" si="37"/>
        <v>0.96149118650818177</v>
      </c>
      <c r="J487" s="55" t="s">
        <v>877</v>
      </c>
      <c r="K487" s="24" t="s">
        <v>57</v>
      </c>
      <c r="L487" s="94">
        <v>5500</v>
      </c>
      <c r="M487" s="114">
        <v>5894</v>
      </c>
      <c r="N487" s="25"/>
      <c r="O487" s="25"/>
      <c r="P487" s="25"/>
      <c r="Q487" s="25"/>
      <c r="R487" s="49"/>
      <c r="S487" s="53"/>
    </row>
    <row r="488" spans="1:19" ht="51" x14ac:dyDescent="0.25">
      <c r="A488" s="406"/>
      <c r="B488" s="310"/>
      <c r="C488" s="22" t="s">
        <v>180</v>
      </c>
      <c r="D488" s="23">
        <v>2006.8</v>
      </c>
      <c r="E488" s="23">
        <v>2006.8</v>
      </c>
      <c r="F488" s="23">
        <v>1120.5999999999999</v>
      </c>
      <c r="G488" s="23">
        <v>886.2</v>
      </c>
      <c r="H488" s="54">
        <v>886.2</v>
      </c>
      <c r="I488" s="262">
        <f t="shared" si="37"/>
        <v>0.55840143512058993</v>
      </c>
      <c r="J488" s="55" t="s">
        <v>878</v>
      </c>
      <c r="K488" s="24" t="s">
        <v>22</v>
      </c>
      <c r="L488" s="94">
        <v>1</v>
      </c>
      <c r="M488" s="127">
        <v>1</v>
      </c>
      <c r="N488" s="25"/>
      <c r="O488" s="25"/>
      <c r="P488" s="25"/>
      <c r="Q488" s="25"/>
      <c r="R488" s="49"/>
      <c r="S488" s="53"/>
    </row>
    <row r="489" spans="1:19" ht="38.25" x14ac:dyDescent="0.25">
      <c r="A489" s="406"/>
      <c r="B489" s="310"/>
      <c r="C489" s="22" t="s">
        <v>185</v>
      </c>
      <c r="D489" s="23">
        <v>2112.4</v>
      </c>
      <c r="E489" s="23">
        <v>2112.4</v>
      </c>
      <c r="F489" s="23">
        <v>1838.6</v>
      </c>
      <c r="G489" s="23">
        <v>273.89999999999998</v>
      </c>
      <c r="H489" s="54">
        <v>273.89999999999998</v>
      </c>
      <c r="I489" s="262">
        <f t="shared" si="37"/>
        <v>0.87038439689452751</v>
      </c>
      <c r="J489" s="55" t="s">
        <v>879</v>
      </c>
      <c r="K489" s="24" t="s">
        <v>57</v>
      </c>
      <c r="L489" s="94">
        <v>30</v>
      </c>
      <c r="M489" s="127">
        <v>30</v>
      </c>
      <c r="N489" s="25"/>
      <c r="O489" s="25"/>
      <c r="P489" s="25"/>
      <c r="Q489" s="25"/>
      <c r="R489" s="49"/>
      <c r="S489" s="53"/>
    </row>
    <row r="490" spans="1:19" ht="38.25" x14ac:dyDescent="0.25">
      <c r="A490" s="406"/>
      <c r="B490" s="310"/>
      <c r="C490" s="22" t="s">
        <v>55</v>
      </c>
      <c r="D490" s="23">
        <v>8669.2999999999993</v>
      </c>
      <c r="E490" s="23">
        <v>8669.2999999999993</v>
      </c>
      <c r="F490" s="23">
        <v>8668.9</v>
      </c>
      <c r="G490" s="23">
        <v>0.4</v>
      </c>
      <c r="H490" s="54">
        <v>0.4</v>
      </c>
      <c r="I490" s="262">
        <f t="shared" si="37"/>
        <v>0.99995386017325505</v>
      </c>
      <c r="J490" s="55" t="s">
        <v>880</v>
      </c>
      <c r="K490" s="24" t="s">
        <v>298</v>
      </c>
      <c r="L490" s="94">
        <v>11.7</v>
      </c>
      <c r="M490" s="127">
        <v>11.6</v>
      </c>
      <c r="N490" s="25"/>
      <c r="O490" s="25"/>
      <c r="P490" s="25"/>
      <c r="Q490" s="25"/>
      <c r="R490" s="49"/>
      <c r="S490" s="53"/>
    </row>
    <row r="491" spans="1:19" ht="92.25" customHeight="1" x14ac:dyDescent="0.25">
      <c r="A491" s="406"/>
      <c r="B491" s="310"/>
      <c r="C491" s="22" t="s">
        <v>881</v>
      </c>
      <c r="D491" s="23">
        <v>46487.7</v>
      </c>
      <c r="E491" s="23">
        <v>46487.7</v>
      </c>
      <c r="F491" s="23">
        <v>46487.7</v>
      </c>
      <c r="G491" s="23"/>
      <c r="H491" s="54"/>
      <c r="I491" s="262">
        <f t="shared" si="37"/>
        <v>1</v>
      </c>
      <c r="J491" s="333" t="s">
        <v>882</v>
      </c>
      <c r="K491" s="334" t="s">
        <v>57</v>
      </c>
      <c r="L491" s="467">
        <v>13500</v>
      </c>
      <c r="M491" s="468">
        <v>13568</v>
      </c>
      <c r="N491" s="25"/>
      <c r="O491" s="25"/>
      <c r="P491" s="25"/>
      <c r="Q491" s="25"/>
      <c r="R491" s="378"/>
      <c r="S491" s="339"/>
    </row>
    <row r="492" spans="1:19" ht="15.75" thickBot="1" x14ac:dyDescent="0.3">
      <c r="A492" s="307"/>
      <c r="B492" s="309"/>
      <c r="C492" s="22" t="s">
        <v>177</v>
      </c>
      <c r="D492" s="23">
        <v>256.60000000000002</v>
      </c>
      <c r="E492" s="23">
        <v>256.60000000000002</v>
      </c>
      <c r="F492" s="23">
        <v>186.1</v>
      </c>
      <c r="G492" s="23">
        <v>70.5</v>
      </c>
      <c r="H492" s="23">
        <v>70.5</v>
      </c>
      <c r="I492" s="279">
        <f t="shared" si="37"/>
        <v>0.72525331254871384</v>
      </c>
      <c r="J492" s="316"/>
      <c r="K492" s="325"/>
      <c r="L492" s="342"/>
      <c r="M492" s="359"/>
      <c r="N492" s="25"/>
      <c r="O492" s="25"/>
      <c r="P492" s="25"/>
      <c r="Q492" s="25"/>
      <c r="R492" s="299"/>
      <c r="S492" s="305"/>
    </row>
    <row r="493" spans="1:19" ht="63.75" x14ac:dyDescent="0.25">
      <c r="A493" s="306" t="s">
        <v>883</v>
      </c>
      <c r="B493" s="308" t="s">
        <v>884</v>
      </c>
      <c r="C493" s="17"/>
      <c r="D493" s="18">
        <f>SUM(D494:D496)</f>
        <v>53.2</v>
      </c>
      <c r="E493" s="18">
        <f>SUM(E494:E496)</f>
        <v>53.2</v>
      </c>
      <c r="F493" s="18">
        <f>SUM(F494:F496)</f>
        <v>53.2</v>
      </c>
      <c r="G493" s="18"/>
      <c r="H493" s="18"/>
      <c r="I493" s="264">
        <f t="shared" si="37"/>
        <v>1</v>
      </c>
      <c r="J493" s="48" t="s">
        <v>885</v>
      </c>
      <c r="K493" s="19" t="s">
        <v>57</v>
      </c>
      <c r="L493" s="19">
        <v>54</v>
      </c>
      <c r="M493" s="107">
        <v>52</v>
      </c>
      <c r="N493" s="20"/>
      <c r="O493" s="20"/>
      <c r="P493" s="20"/>
      <c r="Q493" s="20"/>
      <c r="R493" s="48"/>
      <c r="S493" s="52" t="s">
        <v>1752</v>
      </c>
    </row>
    <row r="494" spans="1:19" ht="51.75" thickBot="1" x14ac:dyDescent="0.3">
      <c r="A494" s="307"/>
      <c r="B494" s="309"/>
      <c r="C494" s="22"/>
      <c r="D494" s="23"/>
      <c r="E494" s="23"/>
      <c r="F494" s="23"/>
      <c r="G494" s="23"/>
      <c r="H494" s="23"/>
      <c r="I494" s="279"/>
      <c r="J494" s="49" t="s">
        <v>886</v>
      </c>
      <c r="K494" s="24" t="s">
        <v>57</v>
      </c>
      <c r="L494" s="24">
        <v>30</v>
      </c>
      <c r="M494" s="104">
        <v>30</v>
      </c>
      <c r="N494" s="25"/>
      <c r="O494" s="25"/>
      <c r="P494" s="25"/>
      <c r="Q494" s="25"/>
      <c r="R494" s="49"/>
      <c r="S494" s="53"/>
    </row>
    <row r="495" spans="1:19" ht="40.5" customHeight="1" thickBot="1" x14ac:dyDescent="0.3">
      <c r="A495" s="16" t="s">
        <v>887</v>
      </c>
      <c r="B495" s="42" t="s">
        <v>888</v>
      </c>
      <c r="C495" s="17" t="s">
        <v>881</v>
      </c>
      <c r="D495" s="26">
        <v>53.2</v>
      </c>
      <c r="E495" s="26">
        <v>53.2</v>
      </c>
      <c r="F495" s="26">
        <v>53.2</v>
      </c>
      <c r="G495" s="26"/>
      <c r="H495" s="26"/>
      <c r="I495" s="264">
        <f t="shared" si="37"/>
        <v>1</v>
      </c>
      <c r="J495" s="48" t="s">
        <v>889</v>
      </c>
      <c r="K495" s="19" t="s">
        <v>57</v>
      </c>
      <c r="L495" s="19">
        <v>400</v>
      </c>
      <c r="M495" s="108">
        <v>730</v>
      </c>
      <c r="N495" s="20"/>
      <c r="O495" s="20"/>
      <c r="P495" s="20"/>
      <c r="Q495" s="20"/>
      <c r="R495" s="48" t="s">
        <v>890</v>
      </c>
      <c r="S495" s="52"/>
    </row>
    <row r="496" spans="1:19" ht="77.25" hidden="1" thickBot="1" x14ac:dyDescent="0.3">
      <c r="A496" s="16" t="s">
        <v>891</v>
      </c>
      <c r="B496" s="42" t="s">
        <v>892</v>
      </c>
      <c r="C496" s="17" t="s">
        <v>881</v>
      </c>
      <c r="D496" s="26"/>
      <c r="E496" s="26"/>
      <c r="F496" s="26"/>
      <c r="G496" s="26"/>
      <c r="H496" s="26"/>
      <c r="I496" s="281"/>
      <c r="J496" s="48" t="s">
        <v>893</v>
      </c>
      <c r="K496" s="19" t="s">
        <v>57</v>
      </c>
      <c r="L496" s="19">
        <v>54</v>
      </c>
      <c r="M496" s="19">
        <v>52</v>
      </c>
      <c r="N496" s="20"/>
      <c r="O496" s="20"/>
      <c r="P496" s="20"/>
      <c r="Q496" s="20"/>
      <c r="R496" s="48" t="s">
        <v>894</v>
      </c>
      <c r="S496" s="52"/>
    </row>
    <row r="497" spans="1:19" ht="39" thickBot="1" x14ac:dyDescent="0.3">
      <c r="A497" s="16" t="s">
        <v>895</v>
      </c>
      <c r="B497" s="42" t="s">
        <v>896</v>
      </c>
      <c r="C497" s="17" t="s">
        <v>32</v>
      </c>
      <c r="D497" s="26">
        <v>49.4</v>
      </c>
      <c r="E497" s="26">
        <v>49.4</v>
      </c>
      <c r="F497" s="26">
        <v>44.8</v>
      </c>
      <c r="G497" s="26">
        <v>4.5999999999999996</v>
      </c>
      <c r="H497" s="26">
        <v>4.5999999999999996</v>
      </c>
      <c r="I497" s="264">
        <f t="shared" ref="I497:I498" si="38">SUM(F497/E497)</f>
        <v>0.90688259109311742</v>
      </c>
      <c r="J497" s="48" t="s">
        <v>897</v>
      </c>
      <c r="K497" s="19" t="s">
        <v>57</v>
      </c>
      <c r="L497" s="19">
        <v>700</v>
      </c>
      <c r="M497" s="111">
        <v>700</v>
      </c>
      <c r="N497" s="20"/>
      <c r="O497" s="20"/>
      <c r="P497" s="20"/>
      <c r="Q497" s="20"/>
      <c r="R497" s="48" t="s">
        <v>898</v>
      </c>
      <c r="S497" s="120"/>
    </row>
    <row r="498" spans="1:19" ht="56.25" customHeight="1" x14ac:dyDescent="0.25">
      <c r="A498" s="306" t="s">
        <v>899</v>
      </c>
      <c r="B498" s="308" t="s">
        <v>900</v>
      </c>
      <c r="C498" s="17"/>
      <c r="D498" s="18">
        <f>D499+D500+D504+D508+D509+D512</f>
        <v>1096.6999999999998</v>
      </c>
      <c r="E498" s="18">
        <f>E499+E500+E504+E508+E509+E512</f>
        <v>1096.6999999999998</v>
      </c>
      <c r="F498" s="18">
        <f>F499+F500+F504+F508+F509+F512</f>
        <v>1096.6999999999998</v>
      </c>
      <c r="G498" s="18"/>
      <c r="H498" s="18"/>
      <c r="I498" s="264">
        <f t="shared" si="38"/>
        <v>1</v>
      </c>
      <c r="J498" s="48" t="s">
        <v>901</v>
      </c>
      <c r="K498" s="19" t="s">
        <v>57</v>
      </c>
      <c r="L498" s="19">
        <v>2</v>
      </c>
      <c r="M498" s="153">
        <v>4</v>
      </c>
      <c r="N498" s="20"/>
      <c r="O498" s="20"/>
      <c r="P498" s="20"/>
      <c r="Q498" s="20"/>
      <c r="R498" s="48"/>
      <c r="S498" s="52"/>
    </row>
    <row r="499" spans="1:19" ht="51.75" thickBot="1" x14ac:dyDescent="0.3">
      <c r="A499" s="307"/>
      <c r="B499" s="309"/>
      <c r="C499" s="22"/>
      <c r="D499" s="23"/>
      <c r="E499" s="23"/>
      <c r="F499" s="23"/>
      <c r="G499" s="23"/>
      <c r="H499" s="23"/>
      <c r="I499" s="269"/>
      <c r="J499" s="49" t="s">
        <v>902</v>
      </c>
      <c r="K499" s="24" t="s">
        <v>57</v>
      </c>
      <c r="L499" s="24">
        <v>1</v>
      </c>
      <c r="M499" s="104">
        <v>1</v>
      </c>
      <c r="N499" s="25"/>
      <c r="O499" s="25"/>
      <c r="P499" s="25"/>
      <c r="Q499" s="25"/>
      <c r="R499" s="49"/>
      <c r="S499" s="53"/>
    </row>
    <row r="500" spans="1:19" ht="26.25" customHeight="1" x14ac:dyDescent="0.25">
      <c r="A500" s="306" t="s">
        <v>903</v>
      </c>
      <c r="B500" s="308" t="s">
        <v>904</v>
      </c>
      <c r="C500" s="17"/>
      <c r="D500" s="18">
        <f>SUM(D501:D503)</f>
        <v>668.4</v>
      </c>
      <c r="E500" s="18">
        <f>SUM(E501:E503)</f>
        <v>668.4</v>
      </c>
      <c r="F500" s="18">
        <f>SUM(F501:F503)</f>
        <v>668.4</v>
      </c>
      <c r="G500" s="18"/>
      <c r="H500" s="18"/>
      <c r="I500" s="261">
        <f t="shared" ref="I500:I563" si="39">SUM(F500/E500)</f>
        <v>1</v>
      </c>
      <c r="J500" s="314" t="s">
        <v>905</v>
      </c>
      <c r="K500" s="323" t="s">
        <v>57</v>
      </c>
      <c r="L500" s="323">
        <v>1</v>
      </c>
      <c r="M500" s="347">
        <v>1</v>
      </c>
      <c r="N500" s="20"/>
      <c r="O500" s="20"/>
      <c r="P500" s="20"/>
      <c r="Q500" s="20"/>
      <c r="R500" s="297"/>
      <c r="S500" s="303"/>
    </row>
    <row r="501" spans="1:19" x14ac:dyDescent="0.25">
      <c r="A501" s="406"/>
      <c r="B501" s="310"/>
      <c r="C501" s="22" t="s">
        <v>881</v>
      </c>
      <c r="D501" s="23">
        <v>655.5</v>
      </c>
      <c r="E501" s="23">
        <v>655.5</v>
      </c>
      <c r="F501" s="23">
        <v>655.5</v>
      </c>
      <c r="G501" s="23"/>
      <c r="H501" s="54"/>
      <c r="I501" s="262">
        <f t="shared" si="39"/>
        <v>1</v>
      </c>
      <c r="J501" s="315"/>
      <c r="K501" s="324"/>
      <c r="L501" s="324"/>
      <c r="M501" s="348"/>
      <c r="N501" s="25"/>
      <c r="O501" s="25"/>
      <c r="P501" s="25"/>
      <c r="Q501" s="25"/>
      <c r="R501" s="298"/>
      <c r="S501" s="304"/>
    </row>
    <row r="502" spans="1:19" x14ac:dyDescent="0.25">
      <c r="A502" s="406"/>
      <c r="B502" s="310"/>
      <c r="C502" s="22" t="s">
        <v>32</v>
      </c>
      <c r="D502" s="23">
        <v>1</v>
      </c>
      <c r="E502" s="23">
        <v>1</v>
      </c>
      <c r="F502" s="23">
        <v>1</v>
      </c>
      <c r="G502" s="23"/>
      <c r="H502" s="54"/>
      <c r="I502" s="262">
        <f t="shared" si="39"/>
        <v>1</v>
      </c>
      <c r="J502" s="315"/>
      <c r="K502" s="324"/>
      <c r="L502" s="324"/>
      <c r="M502" s="348"/>
      <c r="N502" s="25"/>
      <c r="O502" s="25"/>
      <c r="P502" s="25"/>
      <c r="Q502" s="25"/>
      <c r="R502" s="298"/>
      <c r="S502" s="304"/>
    </row>
    <row r="503" spans="1:19" ht="15.75" thickBot="1" x14ac:dyDescent="0.3">
      <c r="A503" s="307"/>
      <c r="B503" s="309"/>
      <c r="C503" s="22" t="s">
        <v>55</v>
      </c>
      <c r="D503" s="23">
        <v>11.9</v>
      </c>
      <c r="E503" s="23">
        <v>11.9</v>
      </c>
      <c r="F503" s="23">
        <v>11.9</v>
      </c>
      <c r="G503" s="23"/>
      <c r="H503" s="23"/>
      <c r="I503" s="279">
        <f t="shared" si="39"/>
        <v>1</v>
      </c>
      <c r="J503" s="316"/>
      <c r="K503" s="325"/>
      <c r="L503" s="325"/>
      <c r="M503" s="349"/>
      <c r="N503" s="25"/>
      <c r="O503" s="25"/>
      <c r="P503" s="25"/>
      <c r="Q503" s="25"/>
      <c r="R503" s="299"/>
      <c r="S503" s="305"/>
    </row>
    <row r="504" spans="1:19" ht="26.25" customHeight="1" x14ac:dyDescent="0.25">
      <c r="A504" s="306" t="s">
        <v>906</v>
      </c>
      <c r="B504" s="308" t="s">
        <v>907</v>
      </c>
      <c r="C504" s="17"/>
      <c r="D504" s="18">
        <f>SUM(D505:D507)</f>
        <v>316.7</v>
      </c>
      <c r="E504" s="18">
        <f>SUM(E505:E507)</f>
        <v>316.7</v>
      </c>
      <c r="F504" s="18">
        <f>SUM(F505:F507)</f>
        <v>316.7</v>
      </c>
      <c r="G504" s="18"/>
      <c r="H504" s="18"/>
      <c r="I504" s="261">
        <f t="shared" si="39"/>
        <v>1</v>
      </c>
      <c r="J504" s="314" t="s">
        <v>905</v>
      </c>
      <c r="K504" s="323" t="s">
        <v>57</v>
      </c>
      <c r="L504" s="323">
        <v>1</v>
      </c>
      <c r="M504" s="347">
        <v>1</v>
      </c>
      <c r="N504" s="20"/>
      <c r="O504" s="20"/>
      <c r="P504" s="20"/>
      <c r="Q504" s="20"/>
      <c r="R504" s="297"/>
      <c r="S504" s="303"/>
    </row>
    <row r="505" spans="1:19" x14ac:dyDescent="0.25">
      <c r="A505" s="406"/>
      <c r="B505" s="310"/>
      <c r="C505" s="22" t="s">
        <v>32</v>
      </c>
      <c r="D505" s="23">
        <v>0.2</v>
      </c>
      <c r="E505" s="23">
        <v>0.2</v>
      </c>
      <c r="F505" s="23">
        <v>0.2</v>
      </c>
      <c r="G505" s="23"/>
      <c r="H505" s="54"/>
      <c r="I505" s="262">
        <f t="shared" si="39"/>
        <v>1</v>
      </c>
      <c r="J505" s="315"/>
      <c r="K505" s="324"/>
      <c r="L505" s="324"/>
      <c r="M505" s="348"/>
      <c r="N505" s="25"/>
      <c r="O505" s="25"/>
      <c r="P505" s="25"/>
      <c r="Q505" s="25"/>
      <c r="R505" s="298"/>
      <c r="S505" s="304"/>
    </row>
    <row r="506" spans="1:19" x14ac:dyDescent="0.25">
      <c r="A506" s="406"/>
      <c r="B506" s="310"/>
      <c r="C506" s="22" t="s">
        <v>881</v>
      </c>
      <c r="D506" s="23">
        <v>311</v>
      </c>
      <c r="E506" s="23">
        <v>311</v>
      </c>
      <c r="F506" s="23">
        <v>311</v>
      </c>
      <c r="G506" s="23"/>
      <c r="H506" s="54"/>
      <c r="I506" s="262">
        <f t="shared" si="39"/>
        <v>1</v>
      </c>
      <c r="J506" s="315"/>
      <c r="K506" s="324"/>
      <c r="L506" s="324"/>
      <c r="M506" s="348"/>
      <c r="N506" s="25"/>
      <c r="O506" s="25"/>
      <c r="P506" s="25"/>
      <c r="Q506" s="25"/>
      <c r="R506" s="298"/>
      <c r="S506" s="304"/>
    </row>
    <row r="507" spans="1:19" ht="15.75" thickBot="1" x14ac:dyDescent="0.3">
      <c r="A507" s="307"/>
      <c r="B507" s="309"/>
      <c r="C507" s="22" t="s">
        <v>55</v>
      </c>
      <c r="D507" s="23">
        <v>5.5</v>
      </c>
      <c r="E507" s="23">
        <v>5.5</v>
      </c>
      <c r="F507" s="23">
        <v>5.5</v>
      </c>
      <c r="G507" s="23"/>
      <c r="H507" s="23"/>
      <c r="I507" s="279">
        <f t="shared" si="39"/>
        <v>1</v>
      </c>
      <c r="J507" s="316"/>
      <c r="K507" s="325"/>
      <c r="L507" s="325"/>
      <c r="M507" s="349"/>
      <c r="N507" s="25"/>
      <c r="O507" s="25"/>
      <c r="P507" s="25"/>
      <c r="Q507" s="25"/>
      <c r="R507" s="299"/>
      <c r="S507" s="305"/>
    </row>
    <row r="508" spans="1:19" ht="51.75" thickBot="1" x14ac:dyDescent="0.3">
      <c r="A508" s="16" t="s">
        <v>908</v>
      </c>
      <c r="B508" s="42" t="s">
        <v>909</v>
      </c>
      <c r="C508" s="17" t="s">
        <v>32</v>
      </c>
      <c r="D508" s="26">
        <v>67.599999999999994</v>
      </c>
      <c r="E508" s="26">
        <v>67.599999999999994</v>
      </c>
      <c r="F508" s="26">
        <v>67.599999999999994</v>
      </c>
      <c r="G508" s="26"/>
      <c r="H508" s="26"/>
      <c r="I508" s="264">
        <f t="shared" si="39"/>
        <v>1</v>
      </c>
      <c r="J508" s="48" t="s">
        <v>905</v>
      </c>
      <c r="K508" s="19" t="s">
        <v>57</v>
      </c>
      <c r="L508" s="19">
        <v>1</v>
      </c>
      <c r="M508" s="111">
        <v>1</v>
      </c>
      <c r="N508" s="20"/>
      <c r="O508" s="20"/>
      <c r="P508" s="20"/>
      <c r="Q508" s="20"/>
      <c r="R508" s="48"/>
      <c r="S508" s="52"/>
    </row>
    <row r="509" spans="1:19" ht="25.5" customHeight="1" x14ac:dyDescent="0.25">
      <c r="A509" s="306" t="s">
        <v>910</v>
      </c>
      <c r="B509" s="308" t="s">
        <v>911</v>
      </c>
      <c r="C509" s="17"/>
      <c r="D509" s="18">
        <f>SUM(D510:D511)</f>
        <v>8.2999999999999989</v>
      </c>
      <c r="E509" s="18">
        <f>SUM(E510:E511)</f>
        <v>8.2999999999999989</v>
      </c>
      <c r="F509" s="18">
        <f>SUM(F510:F511)</f>
        <v>8.2999999999999989</v>
      </c>
      <c r="G509" s="18"/>
      <c r="H509" s="18"/>
      <c r="I509" s="261">
        <f t="shared" si="39"/>
        <v>1</v>
      </c>
      <c r="J509" s="314" t="s">
        <v>905</v>
      </c>
      <c r="K509" s="323" t="s">
        <v>57</v>
      </c>
      <c r="L509" s="323">
        <v>1</v>
      </c>
      <c r="M509" s="347">
        <v>1</v>
      </c>
      <c r="N509" s="20"/>
      <c r="O509" s="20"/>
      <c r="P509" s="20"/>
      <c r="Q509" s="20"/>
      <c r="R509" s="297"/>
      <c r="S509" s="303"/>
    </row>
    <row r="510" spans="1:19" x14ac:dyDescent="0.25">
      <c r="A510" s="406"/>
      <c r="B510" s="310"/>
      <c r="C510" s="22" t="s">
        <v>881</v>
      </c>
      <c r="D510" s="23">
        <v>8.1</v>
      </c>
      <c r="E510" s="23">
        <v>8.1</v>
      </c>
      <c r="F510" s="23">
        <v>8.1</v>
      </c>
      <c r="G510" s="23"/>
      <c r="H510" s="54"/>
      <c r="I510" s="262">
        <f t="shared" si="39"/>
        <v>1</v>
      </c>
      <c r="J510" s="315"/>
      <c r="K510" s="324"/>
      <c r="L510" s="324"/>
      <c r="M510" s="348"/>
      <c r="N510" s="25"/>
      <c r="O510" s="25"/>
      <c r="P510" s="25"/>
      <c r="Q510" s="25"/>
      <c r="R510" s="298"/>
      <c r="S510" s="304"/>
    </row>
    <row r="511" spans="1:19" ht="15.75" thickBot="1" x14ac:dyDescent="0.3">
      <c r="A511" s="307"/>
      <c r="B511" s="309"/>
      <c r="C511" s="22" t="s">
        <v>55</v>
      </c>
      <c r="D511" s="23">
        <v>0.2</v>
      </c>
      <c r="E511" s="23">
        <v>0.2</v>
      </c>
      <c r="F511" s="23">
        <v>0.2</v>
      </c>
      <c r="G511" s="23"/>
      <c r="H511" s="23"/>
      <c r="I511" s="279">
        <f t="shared" si="39"/>
        <v>1</v>
      </c>
      <c r="J511" s="316"/>
      <c r="K511" s="325"/>
      <c r="L511" s="325"/>
      <c r="M511" s="349"/>
      <c r="N511" s="25"/>
      <c r="O511" s="25"/>
      <c r="P511" s="25"/>
      <c r="Q511" s="25"/>
      <c r="R511" s="299"/>
      <c r="S511" s="305"/>
    </row>
    <row r="512" spans="1:19" x14ac:dyDescent="0.25">
      <c r="A512" s="306" t="s">
        <v>912</v>
      </c>
      <c r="B512" s="308" t="s">
        <v>913</v>
      </c>
      <c r="C512" s="17"/>
      <c r="D512" s="18">
        <f>SUM(D513:D514)</f>
        <v>35.700000000000003</v>
      </c>
      <c r="E512" s="18">
        <f>SUM(E513:E514)</f>
        <v>35.700000000000003</v>
      </c>
      <c r="F512" s="18">
        <f>SUM(F513:F514)</f>
        <v>35.700000000000003</v>
      </c>
      <c r="G512" s="18"/>
      <c r="H512" s="18"/>
      <c r="I512" s="261">
        <f t="shared" si="39"/>
        <v>1</v>
      </c>
      <c r="J512" s="314" t="s">
        <v>905</v>
      </c>
      <c r="K512" s="323" t="s">
        <v>57</v>
      </c>
      <c r="L512" s="323">
        <v>1</v>
      </c>
      <c r="M512" s="347">
        <v>1</v>
      </c>
      <c r="N512" s="20"/>
      <c r="O512" s="20"/>
      <c r="P512" s="20"/>
      <c r="Q512" s="20"/>
      <c r="R512" s="297"/>
      <c r="S512" s="303"/>
    </row>
    <row r="513" spans="1:19" x14ac:dyDescent="0.25">
      <c r="A513" s="406"/>
      <c r="B513" s="310"/>
      <c r="C513" s="22" t="s">
        <v>55</v>
      </c>
      <c r="D513" s="23">
        <v>0.7</v>
      </c>
      <c r="E513" s="23">
        <v>0.7</v>
      </c>
      <c r="F513" s="23">
        <v>0.7</v>
      </c>
      <c r="G513" s="23"/>
      <c r="H513" s="54"/>
      <c r="I513" s="262">
        <f t="shared" si="39"/>
        <v>1</v>
      </c>
      <c r="J513" s="315"/>
      <c r="K513" s="324"/>
      <c r="L513" s="324"/>
      <c r="M513" s="348"/>
      <c r="N513" s="25"/>
      <c r="O513" s="25"/>
      <c r="P513" s="25"/>
      <c r="Q513" s="25"/>
      <c r="R513" s="298"/>
      <c r="S513" s="304"/>
    </row>
    <row r="514" spans="1:19" ht="15.75" thickBot="1" x14ac:dyDescent="0.3">
      <c r="A514" s="307"/>
      <c r="B514" s="309"/>
      <c r="C514" s="22" t="s">
        <v>881</v>
      </c>
      <c r="D514" s="23">
        <v>35</v>
      </c>
      <c r="E514" s="23">
        <v>35</v>
      </c>
      <c r="F514" s="23">
        <v>35</v>
      </c>
      <c r="G514" s="23"/>
      <c r="H514" s="23"/>
      <c r="I514" s="279">
        <f t="shared" si="39"/>
        <v>1</v>
      </c>
      <c r="J514" s="316"/>
      <c r="K514" s="325"/>
      <c r="L514" s="325"/>
      <c r="M514" s="349"/>
      <c r="N514" s="25"/>
      <c r="O514" s="25"/>
      <c r="P514" s="25"/>
      <c r="Q514" s="25"/>
      <c r="R514" s="299"/>
      <c r="S514" s="305"/>
    </row>
    <row r="515" spans="1:19" ht="25.5" x14ac:dyDescent="0.25">
      <c r="A515" s="306" t="s">
        <v>914</v>
      </c>
      <c r="B515" s="308" t="s">
        <v>915</v>
      </c>
      <c r="C515" s="17"/>
      <c r="D515" s="18">
        <f>SUM(D516:D523)</f>
        <v>7217.1</v>
      </c>
      <c r="E515" s="18">
        <f>SUM(E516:E523)</f>
        <v>7217.1</v>
      </c>
      <c r="F515" s="18">
        <f>SUM(F516:F523)</f>
        <v>6947.6</v>
      </c>
      <c r="G515" s="18">
        <f>SUM(G516:G523)</f>
        <v>269.5</v>
      </c>
      <c r="H515" s="18">
        <f>SUM(H516:H523)</f>
        <v>269.5</v>
      </c>
      <c r="I515" s="261">
        <f t="shared" si="39"/>
        <v>0.96265813138241119</v>
      </c>
      <c r="J515" s="48" t="s">
        <v>916</v>
      </c>
      <c r="K515" s="19" t="s">
        <v>57</v>
      </c>
      <c r="L515" s="19">
        <v>8</v>
      </c>
      <c r="M515" s="111">
        <v>8</v>
      </c>
      <c r="N515" s="20"/>
      <c r="O515" s="20"/>
      <c r="P515" s="20"/>
      <c r="Q515" s="20"/>
      <c r="R515" s="311"/>
      <c r="S515" s="294"/>
    </row>
    <row r="516" spans="1:19" ht="38.25" x14ac:dyDescent="0.25">
      <c r="A516" s="406"/>
      <c r="B516" s="310"/>
      <c r="C516" s="22" t="s">
        <v>172</v>
      </c>
      <c r="D516" s="23">
        <v>112.5</v>
      </c>
      <c r="E516" s="23">
        <v>112.5</v>
      </c>
      <c r="F516" s="23">
        <v>15.1</v>
      </c>
      <c r="G516" s="23">
        <v>97.4</v>
      </c>
      <c r="H516" s="54">
        <v>97.4</v>
      </c>
      <c r="I516" s="262">
        <f t="shared" si="39"/>
        <v>0.13422222222222221</v>
      </c>
      <c r="J516" s="55" t="s">
        <v>917</v>
      </c>
      <c r="K516" s="24" t="s">
        <v>57</v>
      </c>
      <c r="L516" s="94">
        <v>4600</v>
      </c>
      <c r="M516" s="114">
        <v>4647</v>
      </c>
      <c r="N516" s="25"/>
      <c r="O516" s="25"/>
      <c r="P516" s="25"/>
      <c r="Q516" s="25"/>
      <c r="R516" s="312"/>
      <c r="S516" s="295"/>
    </row>
    <row r="517" spans="1:19" ht="25.5" customHeight="1" x14ac:dyDescent="0.25">
      <c r="A517" s="406"/>
      <c r="B517" s="310"/>
      <c r="C517" s="22" t="s">
        <v>180</v>
      </c>
      <c r="D517" s="23">
        <v>188</v>
      </c>
      <c r="E517" s="23">
        <v>188</v>
      </c>
      <c r="F517" s="23">
        <v>160.69999999999999</v>
      </c>
      <c r="G517" s="23">
        <v>27.3</v>
      </c>
      <c r="H517" s="54">
        <v>27.3</v>
      </c>
      <c r="I517" s="262">
        <f t="shared" si="39"/>
        <v>0.85478723404255308</v>
      </c>
      <c r="J517" s="333" t="s">
        <v>918</v>
      </c>
      <c r="K517" s="334" t="s">
        <v>57</v>
      </c>
      <c r="L517" s="467">
        <v>1100</v>
      </c>
      <c r="M517" s="468">
        <v>1112</v>
      </c>
      <c r="N517" s="25"/>
      <c r="O517" s="25"/>
      <c r="P517" s="25"/>
      <c r="Q517" s="25"/>
      <c r="R517" s="312"/>
      <c r="S517" s="295"/>
    </row>
    <row r="518" spans="1:19" x14ac:dyDescent="0.25">
      <c r="A518" s="406"/>
      <c r="B518" s="310"/>
      <c r="C518" s="22" t="s">
        <v>185</v>
      </c>
      <c r="D518" s="23">
        <v>403.1</v>
      </c>
      <c r="E518" s="23">
        <v>403.1</v>
      </c>
      <c r="F518" s="23">
        <v>298.8</v>
      </c>
      <c r="G518" s="23">
        <v>104.3</v>
      </c>
      <c r="H518" s="54">
        <v>104.3</v>
      </c>
      <c r="I518" s="262">
        <f t="shared" si="39"/>
        <v>0.74125527164475313</v>
      </c>
      <c r="J518" s="315"/>
      <c r="K518" s="324"/>
      <c r="L518" s="341"/>
      <c r="M518" s="358"/>
      <c r="N518" s="25"/>
      <c r="O518" s="25"/>
      <c r="P518" s="25"/>
      <c r="Q518" s="25"/>
      <c r="R518" s="312"/>
      <c r="S518" s="295"/>
    </row>
    <row r="519" spans="1:19" x14ac:dyDescent="0.25">
      <c r="A519" s="406"/>
      <c r="B519" s="310"/>
      <c r="C519" s="22" t="s">
        <v>30</v>
      </c>
      <c r="D519" s="23">
        <v>272.39999999999998</v>
      </c>
      <c r="E519" s="23">
        <v>272.39999999999998</v>
      </c>
      <c r="F519" s="23">
        <v>272.39999999999998</v>
      </c>
      <c r="G519" s="23"/>
      <c r="H519" s="54"/>
      <c r="I519" s="262">
        <f t="shared" si="39"/>
        <v>1</v>
      </c>
      <c r="J519" s="315"/>
      <c r="K519" s="324"/>
      <c r="L519" s="341"/>
      <c r="M519" s="358"/>
      <c r="N519" s="25"/>
      <c r="O519" s="25"/>
      <c r="P519" s="25"/>
      <c r="Q519" s="25"/>
      <c r="R519" s="312"/>
      <c r="S519" s="295"/>
    </row>
    <row r="520" spans="1:19" x14ac:dyDescent="0.25">
      <c r="A520" s="406"/>
      <c r="B520" s="310"/>
      <c r="C520" s="22" t="s">
        <v>32</v>
      </c>
      <c r="D520" s="23">
        <v>5873.3</v>
      </c>
      <c r="E520" s="23">
        <v>5873.3</v>
      </c>
      <c r="F520" s="23">
        <v>5835.3</v>
      </c>
      <c r="G520" s="23">
        <v>38</v>
      </c>
      <c r="H520" s="54">
        <v>38</v>
      </c>
      <c r="I520" s="262">
        <f t="shared" si="39"/>
        <v>0.99353004273577039</v>
      </c>
      <c r="J520" s="315"/>
      <c r="K520" s="324"/>
      <c r="L520" s="341"/>
      <c r="M520" s="358"/>
      <c r="N520" s="25"/>
      <c r="O520" s="25"/>
      <c r="P520" s="25"/>
      <c r="Q520" s="25"/>
      <c r="R520" s="312"/>
      <c r="S520" s="295"/>
    </row>
    <row r="521" spans="1:19" x14ac:dyDescent="0.25">
      <c r="A521" s="406"/>
      <c r="B521" s="310"/>
      <c r="C521" s="22" t="s">
        <v>881</v>
      </c>
      <c r="D521" s="23">
        <v>335</v>
      </c>
      <c r="E521" s="23">
        <v>335</v>
      </c>
      <c r="F521" s="23">
        <v>335</v>
      </c>
      <c r="G521" s="23"/>
      <c r="H521" s="54"/>
      <c r="I521" s="262">
        <f t="shared" si="39"/>
        <v>1</v>
      </c>
      <c r="J521" s="315"/>
      <c r="K521" s="324"/>
      <c r="L521" s="341"/>
      <c r="M521" s="358"/>
      <c r="N521" s="25"/>
      <c r="O521" s="25"/>
      <c r="P521" s="25"/>
      <c r="Q521" s="25"/>
      <c r="R521" s="312"/>
      <c r="S521" s="295"/>
    </row>
    <row r="522" spans="1:19" x14ac:dyDescent="0.25">
      <c r="A522" s="406"/>
      <c r="B522" s="310"/>
      <c r="C522" s="22" t="s">
        <v>177</v>
      </c>
      <c r="D522" s="23">
        <v>2.5</v>
      </c>
      <c r="E522" s="23">
        <v>2.5</v>
      </c>
      <c r="F522" s="23"/>
      <c r="G522" s="23">
        <v>2.5</v>
      </c>
      <c r="H522" s="54">
        <v>2.5</v>
      </c>
      <c r="I522" s="262">
        <f t="shared" si="39"/>
        <v>0</v>
      </c>
      <c r="J522" s="315"/>
      <c r="K522" s="324"/>
      <c r="L522" s="341"/>
      <c r="M522" s="358"/>
      <c r="N522" s="25"/>
      <c r="O522" s="25"/>
      <c r="P522" s="25"/>
      <c r="Q522" s="25"/>
      <c r="R522" s="312"/>
      <c r="S522" s="295"/>
    </row>
    <row r="523" spans="1:19" ht="15.75" thickBot="1" x14ac:dyDescent="0.3">
      <c r="A523" s="307"/>
      <c r="B523" s="309"/>
      <c r="C523" s="22" t="s">
        <v>55</v>
      </c>
      <c r="D523" s="23">
        <v>30.3</v>
      </c>
      <c r="E523" s="23">
        <v>30.3</v>
      </c>
      <c r="F523" s="23">
        <v>30.3</v>
      </c>
      <c r="G523" s="23"/>
      <c r="H523" s="23"/>
      <c r="I523" s="279">
        <f t="shared" si="39"/>
        <v>1</v>
      </c>
      <c r="J523" s="316"/>
      <c r="K523" s="325"/>
      <c r="L523" s="342"/>
      <c r="M523" s="359"/>
      <c r="N523" s="25"/>
      <c r="O523" s="25"/>
      <c r="P523" s="25"/>
      <c r="Q523" s="25"/>
      <c r="R523" s="313"/>
      <c r="S523" s="296"/>
    </row>
    <row r="524" spans="1:19" ht="38.25" customHeight="1" x14ac:dyDescent="0.25">
      <c r="A524" s="306" t="s">
        <v>919</v>
      </c>
      <c r="B524" s="308" t="s">
        <v>920</v>
      </c>
      <c r="C524" s="17"/>
      <c r="D524" s="18">
        <f>SUM(D525:D526)</f>
        <v>926.8</v>
      </c>
      <c r="E524" s="18">
        <f>SUM(E525:E526)</f>
        <v>926.8</v>
      </c>
      <c r="F524" s="18">
        <f>SUM(F525:F526)</f>
        <v>874.09999999999991</v>
      </c>
      <c r="G524" s="18">
        <f>SUM(G525:G526)</f>
        <v>52.7</v>
      </c>
      <c r="H524" s="18">
        <f>SUM(H525:H526)</f>
        <v>52.7</v>
      </c>
      <c r="I524" s="261">
        <f t="shared" si="39"/>
        <v>0.94313767803193782</v>
      </c>
      <c r="J524" s="48" t="s">
        <v>921</v>
      </c>
      <c r="K524" s="19" t="s">
        <v>57</v>
      </c>
      <c r="L524" s="19">
        <v>125</v>
      </c>
      <c r="M524" s="107">
        <v>124</v>
      </c>
      <c r="N524" s="20"/>
      <c r="O524" s="20"/>
      <c r="P524" s="20"/>
      <c r="Q524" s="20"/>
      <c r="R524" s="308" t="s">
        <v>922</v>
      </c>
      <c r="S524" s="52" t="s">
        <v>1753</v>
      </c>
    </row>
    <row r="525" spans="1:19" ht="25.5" x14ac:dyDescent="0.25">
      <c r="A525" s="406"/>
      <c r="B525" s="310"/>
      <c r="C525" s="22" t="s">
        <v>55</v>
      </c>
      <c r="D525" s="23">
        <v>826.8</v>
      </c>
      <c r="E525" s="23">
        <v>826.8</v>
      </c>
      <c r="F525" s="23">
        <v>826.8</v>
      </c>
      <c r="G525" s="23"/>
      <c r="H525" s="54"/>
      <c r="I525" s="262">
        <f t="shared" si="39"/>
        <v>1</v>
      </c>
      <c r="J525" s="55" t="s">
        <v>923</v>
      </c>
      <c r="K525" s="24" t="s">
        <v>57</v>
      </c>
      <c r="L525" s="24">
        <v>60</v>
      </c>
      <c r="M525" s="109">
        <v>57</v>
      </c>
      <c r="N525" s="25"/>
      <c r="O525" s="25"/>
      <c r="P525" s="25"/>
      <c r="Q525" s="25"/>
      <c r="R525" s="310"/>
      <c r="S525" s="53" t="s">
        <v>1754</v>
      </c>
    </row>
    <row r="526" spans="1:19" ht="90" thickBot="1" x14ac:dyDescent="0.3">
      <c r="A526" s="307"/>
      <c r="B526" s="309"/>
      <c r="C526" s="22" t="s">
        <v>32</v>
      </c>
      <c r="D526" s="23">
        <v>100</v>
      </c>
      <c r="E526" s="23">
        <v>100</v>
      </c>
      <c r="F526" s="23">
        <v>47.3</v>
      </c>
      <c r="G526" s="23">
        <v>52.7</v>
      </c>
      <c r="H526" s="23">
        <v>52.7</v>
      </c>
      <c r="I526" s="279">
        <f t="shared" si="39"/>
        <v>0.47299999999999998</v>
      </c>
      <c r="J526" s="49" t="s">
        <v>924</v>
      </c>
      <c r="K526" s="24" t="s">
        <v>57</v>
      </c>
      <c r="L526" s="94">
        <v>3500</v>
      </c>
      <c r="M526" s="131">
        <v>3400</v>
      </c>
      <c r="N526" s="25"/>
      <c r="O526" s="25"/>
      <c r="P526" s="25"/>
      <c r="Q526" s="25"/>
      <c r="R526" s="309"/>
      <c r="S526" s="53" t="s">
        <v>1846</v>
      </c>
    </row>
    <row r="527" spans="1:19" ht="51.75" thickBot="1" x14ac:dyDescent="0.3">
      <c r="A527" s="16" t="s">
        <v>925</v>
      </c>
      <c r="B527" s="42" t="s">
        <v>926</v>
      </c>
      <c r="C527" s="17" t="s">
        <v>32</v>
      </c>
      <c r="D527" s="26">
        <v>15</v>
      </c>
      <c r="E527" s="26">
        <v>15</v>
      </c>
      <c r="F527" s="26">
        <v>9.6</v>
      </c>
      <c r="G527" s="26">
        <v>5.4</v>
      </c>
      <c r="H527" s="26">
        <v>5.4</v>
      </c>
      <c r="I527" s="264">
        <f t="shared" si="39"/>
        <v>0.64</v>
      </c>
      <c r="J527" s="48" t="s">
        <v>927</v>
      </c>
      <c r="K527" s="19" t="s">
        <v>57</v>
      </c>
      <c r="L527" s="19">
        <v>70</v>
      </c>
      <c r="M527" s="108">
        <v>96</v>
      </c>
      <c r="N527" s="20"/>
      <c r="O527" s="20"/>
      <c r="P527" s="20"/>
      <c r="Q527" s="20"/>
      <c r="R527" s="147"/>
      <c r="S527" s="120"/>
    </row>
    <row r="528" spans="1:19" ht="25.5" x14ac:dyDescent="0.25">
      <c r="A528" s="306" t="s">
        <v>928</v>
      </c>
      <c r="B528" s="308" t="s">
        <v>929</v>
      </c>
      <c r="C528" s="17"/>
      <c r="D528" s="18">
        <f>SUM(D529:D536)-0.1</f>
        <v>31403.3</v>
      </c>
      <c r="E528" s="18">
        <f>SUM(E529:E536)-0.1</f>
        <v>31403.3</v>
      </c>
      <c r="F528" s="18">
        <f>SUM(F529:F536)-0.1</f>
        <v>30578.2</v>
      </c>
      <c r="G528" s="18">
        <f>SUM(G529:G536)+0.1</f>
        <v>825.00000000000011</v>
      </c>
      <c r="H528" s="18">
        <f>SUM(H529:H536)+0.1</f>
        <v>825.00000000000011</v>
      </c>
      <c r="I528" s="261">
        <f t="shared" si="39"/>
        <v>0.97372569124900887</v>
      </c>
      <c r="J528" s="48" t="s">
        <v>930</v>
      </c>
      <c r="K528" s="19" t="s">
        <v>57</v>
      </c>
      <c r="L528" s="19">
        <v>24</v>
      </c>
      <c r="M528" s="107">
        <v>22</v>
      </c>
      <c r="N528" s="20"/>
      <c r="O528" s="20"/>
      <c r="P528" s="20"/>
      <c r="Q528" s="20"/>
      <c r="R528" s="311"/>
      <c r="S528" s="326" t="s">
        <v>1847</v>
      </c>
    </row>
    <row r="529" spans="1:19" ht="38.25" x14ac:dyDescent="0.25">
      <c r="A529" s="406"/>
      <c r="B529" s="310"/>
      <c r="C529" s="22" t="s">
        <v>177</v>
      </c>
      <c r="D529" s="23">
        <v>308</v>
      </c>
      <c r="E529" s="23">
        <v>308</v>
      </c>
      <c r="F529" s="23">
        <v>177.6</v>
      </c>
      <c r="G529" s="23">
        <v>130.4</v>
      </c>
      <c r="H529" s="54">
        <v>130.4</v>
      </c>
      <c r="I529" s="262">
        <f t="shared" si="39"/>
        <v>0.57662337662337659</v>
      </c>
      <c r="J529" s="55" t="s">
        <v>931</v>
      </c>
      <c r="K529" s="24" t="s">
        <v>57</v>
      </c>
      <c r="L529" s="94">
        <v>4300</v>
      </c>
      <c r="M529" s="114">
        <v>4424</v>
      </c>
      <c r="N529" s="25"/>
      <c r="O529" s="25"/>
      <c r="P529" s="25"/>
      <c r="Q529" s="25"/>
      <c r="R529" s="312"/>
      <c r="S529" s="332"/>
    </row>
    <row r="530" spans="1:19" ht="20.25" customHeight="1" x14ac:dyDescent="0.25">
      <c r="A530" s="406"/>
      <c r="B530" s="310"/>
      <c r="C530" s="22" t="s">
        <v>32</v>
      </c>
      <c r="D530" s="23">
        <v>14442.3</v>
      </c>
      <c r="E530" s="23">
        <v>14442.3</v>
      </c>
      <c r="F530" s="23">
        <v>14254.9</v>
      </c>
      <c r="G530" s="23">
        <v>187.3</v>
      </c>
      <c r="H530" s="54">
        <v>187.3</v>
      </c>
      <c r="I530" s="262">
        <f t="shared" si="39"/>
        <v>0.98702422744299734</v>
      </c>
      <c r="J530" s="333" t="s">
        <v>932</v>
      </c>
      <c r="K530" s="334" t="s">
        <v>57</v>
      </c>
      <c r="L530" s="334">
        <v>3</v>
      </c>
      <c r="M530" s="335">
        <v>4</v>
      </c>
      <c r="N530" s="25"/>
      <c r="O530" s="25"/>
      <c r="P530" s="25"/>
      <c r="Q530" s="25"/>
      <c r="R530" s="312"/>
      <c r="S530" s="332"/>
    </row>
    <row r="531" spans="1:19" x14ac:dyDescent="0.25">
      <c r="A531" s="406"/>
      <c r="B531" s="310"/>
      <c r="C531" s="22" t="s">
        <v>30</v>
      </c>
      <c r="D531" s="23">
        <v>338.9</v>
      </c>
      <c r="E531" s="23">
        <v>338.9</v>
      </c>
      <c r="F531" s="23">
        <v>338.9</v>
      </c>
      <c r="G531" s="23"/>
      <c r="H531" s="54"/>
      <c r="I531" s="262">
        <f t="shared" si="39"/>
        <v>1</v>
      </c>
      <c r="J531" s="315"/>
      <c r="K531" s="324"/>
      <c r="L531" s="324"/>
      <c r="M531" s="336"/>
      <c r="N531" s="25"/>
      <c r="O531" s="25"/>
      <c r="P531" s="25"/>
      <c r="Q531" s="25"/>
      <c r="R531" s="312"/>
      <c r="S531" s="332"/>
    </row>
    <row r="532" spans="1:19" x14ac:dyDescent="0.25">
      <c r="A532" s="406"/>
      <c r="B532" s="310"/>
      <c r="C532" s="22" t="s">
        <v>172</v>
      </c>
      <c r="D532" s="23">
        <v>91.9</v>
      </c>
      <c r="E532" s="23">
        <v>91.9</v>
      </c>
      <c r="F532" s="23">
        <v>39.4</v>
      </c>
      <c r="G532" s="23">
        <v>52.5</v>
      </c>
      <c r="H532" s="54">
        <v>52.5</v>
      </c>
      <c r="I532" s="262">
        <f t="shared" si="39"/>
        <v>0.42872687704026113</v>
      </c>
      <c r="J532" s="315"/>
      <c r="K532" s="324"/>
      <c r="L532" s="324"/>
      <c r="M532" s="336"/>
      <c r="N532" s="25"/>
      <c r="O532" s="25"/>
      <c r="P532" s="25"/>
      <c r="Q532" s="25"/>
      <c r="R532" s="312"/>
      <c r="S532" s="332"/>
    </row>
    <row r="533" spans="1:19" x14ac:dyDescent="0.25">
      <c r="A533" s="406"/>
      <c r="B533" s="310"/>
      <c r="C533" s="22" t="s">
        <v>180</v>
      </c>
      <c r="D533" s="23">
        <v>166.8</v>
      </c>
      <c r="E533" s="23">
        <v>166.8</v>
      </c>
      <c r="F533" s="23">
        <v>68.400000000000006</v>
      </c>
      <c r="G533" s="23">
        <v>98.4</v>
      </c>
      <c r="H533" s="54">
        <v>98.4</v>
      </c>
      <c r="I533" s="262">
        <f t="shared" si="39"/>
        <v>0.41007194244604317</v>
      </c>
      <c r="J533" s="315"/>
      <c r="K533" s="324"/>
      <c r="L533" s="324"/>
      <c r="M533" s="336"/>
      <c r="N533" s="25"/>
      <c r="O533" s="25"/>
      <c r="P533" s="25"/>
      <c r="Q533" s="25"/>
      <c r="R533" s="312"/>
      <c r="S533" s="332"/>
    </row>
    <row r="534" spans="1:19" x14ac:dyDescent="0.25">
      <c r="A534" s="406"/>
      <c r="B534" s="310"/>
      <c r="C534" s="22" t="s">
        <v>185</v>
      </c>
      <c r="D534" s="23">
        <v>2804.5</v>
      </c>
      <c r="E534" s="23">
        <v>2804.5</v>
      </c>
      <c r="F534" s="23">
        <v>2452.8000000000002</v>
      </c>
      <c r="G534" s="23">
        <v>351.6</v>
      </c>
      <c r="H534" s="54">
        <v>351.6</v>
      </c>
      <c r="I534" s="262">
        <f t="shared" si="39"/>
        <v>0.87459440185416304</v>
      </c>
      <c r="J534" s="315"/>
      <c r="K534" s="324"/>
      <c r="L534" s="324"/>
      <c r="M534" s="336"/>
      <c r="N534" s="25"/>
      <c r="O534" s="25"/>
      <c r="P534" s="25"/>
      <c r="Q534" s="25"/>
      <c r="R534" s="312"/>
      <c r="S534" s="332"/>
    </row>
    <row r="535" spans="1:19" x14ac:dyDescent="0.25">
      <c r="A535" s="406"/>
      <c r="B535" s="310"/>
      <c r="C535" s="22" t="s">
        <v>881</v>
      </c>
      <c r="D535" s="23">
        <v>12320.8</v>
      </c>
      <c r="E535" s="23">
        <v>12320.8</v>
      </c>
      <c r="F535" s="23">
        <v>12316.1</v>
      </c>
      <c r="G535" s="23">
        <v>4.7</v>
      </c>
      <c r="H535" s="54">
        <v>4.7</v>
      </c>
      <c r="I535" s="262">
        <f t="shared" si="39"/>
        <v>0.99961853126420375</v>
      </c>
      <c r="J535" s="315"/>
      <c r="K535" s="324"/>
      <c r="L535" s="324"/>
      <c r="M535" s="336"/>
      <c r="N535" s="25"/>
      <c r="O535" s="25"/>
      <c r="P535" s="25"/>
      <c r="Q535" s="25"/>
      <c r="R535" s="312"/>
      <c r="S535" s="332"/>
    </row>
    <row r="536" spans="1:19" ht="15.75" thickBot="1" x14ac:dyDescent="0.3">
      <c r="A536" s="307"/>
      <c r="B536" s="309"/>
      <c r="C536" s="22" t="s">
        <v>55</v>
      </c>
      <c r="D536" s="23">
        <v>930.2</v>
      </c>
      <c r="E536" s="23">
        <v>930.2</v>
      </c>
      <c r="F536" s="23">
        <v>930.2</v>
      </c>
      <c r="G536" s="23"/>
      <c r="H536" s="23"/>
      <c r="I536" s="279">
        <f t="shared" si="39"/>
        <v>1</v>
      </c>
      <c r="J536" s="316"/>
      <c r="K536" s="325"/>
      <c r="L536" s="325"/>
      <c r="M536" s="337"/>
      <c r="N536" s="25"/>
      <c r="O536" s="25"/>
      <c r="P536" s="25"/>
      <c r="Q536" s="25"/>
      <c r="R536" s="313"/>
      <c r="S536" s="327"/>
    </row>
    <row r="537" spans="1:19" ht="39" thickBot="1" x14ac:dyDescent="0.3">
      <c r="A537" s="16" t="s">
        <v>933</v>
      </c>
      <c r="B537" s="42" t="s">
        <v>934</v>
      </c>
      <c r="C537" s="17" t="s">
        <v>32</v>
      </c>
      <c r="D537" s="26">
        <v>390</v>
      </c>
      <c r="E537" s="26">
        <v>390</v>
      </c>
      <c r="F537" s="26">
        <v>339.2</v>
      </c>
      <c r="G537" s="26">
        <v>50.8</v>
      </c>
      <c r="H537" s="26">
        <v>50.8</v>
      </c>
      <c r="I537" s="264">
        <f t="shared" si="39"/>
        <v>0.86974358974358967</v>
      </c>
      <c r="J537" s="48" t="s">
        <v>935</v>
      </c>
      <c r="K537" s="19" t="s">
        <v>57</v>
      </c>
      <c r="L537" s="98">
        <v>1100</v>
      </c>
      <c r="M537" s="136">
        <v>1000</v>
      </c>
      <c r="N537" s="20"/>
      <c r="O537" s="20"/>
      <c r="P537" s="20"/>
      <c r="Q537" s="20"/>
      <c r="R537" s="146" t="s">
        <v>1848</v>
      </c>
      <c r="S537" s="52" t="s">
        <v>1706</v>
      </c>
    </row>
    <row r="538" spans="1:19" ht="77.25" thickBot="1" x14ac:dyDescent="0.3">
      <c r="A538" s="16" t="s">
        <v>936</v>
      </c>
      <c r="B538" s="42" t="s">
        <v>937</v>
      </c>
      <c r="C538" s="17" t="s">
        <v>32</v>
      </c>
      <c r="D538" s="26">
        <v>269.10000000000002</v>
      </c>
      <c r="E538" s="26">
        <v>269.10000000000002</v>
      </c>
      <c r="F538" s="26">
        <v>266.60000000000002</v>
      </c>
      <c r="G538" s="26">
        <v>2.5</v>
      </c>
      <c r="H538" s="26">
        <v>2.5</v>
      </c>
      <c r="I538" s="264">
        <f t="shared" si="39"/>
        <v>0.99070977331846899</v>
      </c>
      <c r="J538" s="48" t="s">
        <v>938</v>
      </c>
      <c r="K538" s="19" t="s">
        <v>57</v>
      </c>
      <c r="L538" s="19">
        <v>310</v>
      </c>
      <c r="M538" s="107">
        <v>224</v>
      </c>
      <c r="N538" s="20"/>
      <c r="O538" s="20"/>
      <c r="P538" s="20"/>
      <c r="Q538" s="20"/>
      <c r="R538" s="48" t="s">
        <v>939</v>
      </c>
      <c r="S538" s="52" t="s">
        <v>1849</v>
      </c>
    </row>
    <row r="539" spans="1:19" ht="51.75" thickBot="1" x14ac:dyDescent="0.3">
      <c r="A539" s="16" t="s">
        <v>940</v>
      </c>
      <c r="B539" s="42" t="s">
        <v>941</v>
      </c>
      <c r="C539" s="17"/>
      <c r="D539" s="18">
        <f>D540+D543+D546+D549+D552</f>
        <v>874.6</v>
      </c>
      <c r="E539" s="18">
        <f>E540+E543+E546+E549+E552</f>
        <v>874.6</v>
      </c>
      <c r="F539" s="18">
        <f>F540+F543+F546+F549+F552</f>
        <v>868.19999999999993</v>
      </c>
      <c r="G539" s="18">
        <f>G540+G543+G546+G549+G552</f>
        <v>6.4</v>
      </c>
      <c r="H539" s="18">
        <f>H540+H543+H546+H549+H552</f>
        <v>6.4</v>
      </c>
      <c r="I539" s="264">
        <f t="shared" si="39"/>
        <v>0.99268236908300922</v>
      </c>
      <c r="J539" s="48" t="s">
        <v>905</v>
      </c>
      <c r="K539" s="19" t="s">
        <v>57</v>
      </c>
      <c r="L539" s="19">
        <v>4</v>
      </c>
      <c r="M539" s="108">
        <v>5</v>
      </c>
      <c r="N539" s="20"/>
      <c r="O539" s="20"/>
      <c r="P539" s="20"/>
      <c r="Q539" s="20"/>
      <c r="R539" s="48"/>
      <c r="S539" s="120"/>
    </row>
    <row r="540" spans="1:19" x14ac:dyDescent="0.25">
      <c r="A540" s="306" t="s">
        <v>942</v>
      </c>
      <c r="B540" s="308" t="s">
        <v>943</v>
      </c>
      <c r="C540" s="17"/>
      <c r="D540" s="18">
        <f>SUM(D541:D542)</f>
        <v>120.3</v>
      </c>
      <c r="E540" s="18">
        <f>SUM(E541:E542)</f>
        <v>120.3</v>
      </c>
      <c r="F540" s="18">
        <f>SUM(F541:F542)</f>
        <v>120.3</v>
      </c>
      <c r="G540" s="18"/>
      <c r="H540" s="18"/>
      <c r="I540" s="261">
        <f t="shared" si="39"/>
        <v>1</v>
      </c>
      <c r="J540" s="314" t="s">
        <v>905</v>
      </c>
      <c r="K540" s="323" t="s">
        <v>57</v>
      </c>
      <c r="L540" s="323">
        <v>1</v>
      </c>
      <c r="M540" s="347">
        <v>1</v>
      </c>
      <c r="N540" s="20"/>
      <c r="O540" s="20"/>
      <c r="P540" s="20"/>
      <c r="Q540" s="20"/>
      <c r="R540" s="297"/>
      <c r="S540" s="303"/>
    </row>
    <row r="541" spans="1:19" x14ac:dyDescent="0.25">
      <c r="A541" s="406"/>
      <c r="B541" s="310"/>
      <c r="C541" s="22" t="s">
        <v>55</v>
      </c>
      <c r="D541" s="23">
        <v>66.5</v>
      </c>
      <c r="E541" s="23">
        <v>66.5</v>
      </c>
      <c r="F541" s="23">
        <v>66.5</v>
      </c>
      <c r="G541" s="23"/>
      <c r="H541" s="54"/>
      <c r="I541" s="262">
        <f t="shared" si="39"/>
        <v>1</v>
      </c>
      <c r="J541" s="315"/>
      <c r="K541" s="324"/>
      <c r="L541" s="324"/>
      <c r="M541" s="348"/>
      <c r="N541" s="25"/>
      <c r="O541" s="25"/>
      <c r="P541" s="25"/>
      <c r="Q541" s="25"/>
      <c r="R541" s="298"/>
      <c r="S541" s="304"/>
    </row>
    <row r="542" spans="1:19" ht="15.75" thickBot="1" x14ac:dyDescent="0.3">
      <c r="A542" s="307"/>
      <c r="B542" s="309"/>
      <c r="C542" s="22" t="s">
        <v>881</v>
      </c>
      <c r="D542" s="23">
        <v>53.8</v>
      </c>
      <c r="E542" s="23">
        <v>53.8</v>
      </c>
      <c r="F542" s="23">
        <v>53.8</v>
      </c>
      <c r="G542" s="23"/>
      <c r="H542" s="23"/>
      <c r="I542" s="279">
        <f t="shared" si="39"/>
        <v>1</v>
      </c>
      <c r="J542" s="316"/>
      <c r="K542" s="325"/>
      <c r="L542" s="325"/>
      <c r="M542" s="349"/>
      <c r="N542" s="25"/>
      <c r="O542" s="25"/>
      <c r="P542" s="25"/>
      <c r="Q542" s="25"/>
      <c r="R542" s="299"/>
      <c r="S542" s="305"/>
    </row>
    <row r="543" spans="1:19" x14ac:dyDescent="0.25">
      <c r="A543" s="306" t="s">
        <v>944</v>
      </c>
      <c r="B543" s="308" t="s">
        <v>945</v>
      </c>
      <c r="C543" s="17"/>
      <c r="D543" s="18">
        <f>SUM(D544:D545)</f>
        <v>314.5</v>
      </c>
      <c r="E543" s="18">
        <f>SUM(E544:E545)</f>
        <v>314.5</v>
      </c>
      <c r="F543" s="18">
        <f>SUM(F544:F545)</f>
        <v>314.5</v>
      </c>
      <c r="G543" s="18"/>
      <c r="H543" s="18"/>
      <c r="I543" s="261">
        <f t="shared" si="39"/>
        <v>1</v>
      </c>
      <c r="J543" s="314" t="s">
        <v>905</v>
      </c>
      <c r="K543" s="323" t="s">
        <v>57</v>
      </c>
      <c r="L543" s="323">
        <v>1</v>
      </c>
      <c r="M543" s="347">
        <v>1</v>
      </c>
      <c r="N543" s="20"/>
      <c r="O543" s="20"/>
      <c r="P543" s="20"/>
      <c r="Q543" s="20"/>
      <c r="R543" s="297"/>
      <c r="S543" s="303"/>
    </row>
    <row r="544" spans="1:19" x14ac:dyDescent="0.25">
      <c r="A544" s="406"/>
      <c r="B544" s="310"/>
      <c r="C544" s="22" t="s">
        <v>881</v>
      </c>
      <c r="D544" s="23">
        <v>308.8</v>
      </c>
      <c r="E544" s="23">
        <v>308.8</v>
      </c>
      <c r="F544" s="23">
        <v>308.8</v>
      </c>
      <c r="G544" s="23"/>
      <c r="H544" s="54"/>
      <c r="I544" s="262">
        <f t="shared" si="39"/>
        <v>1</v>
      </c>
      <c r="J544" s="315"/>
      <c r="K544" s="324"/>
      <c r="L544" s="324"/>
      <c r="M544" s="348"/>
      <c r="N544" s="25"/>
      <c r="O544" s="25"/>
      <c r="P544" s="25"/>
      <c r="Q544" s="25"/>
      <c r="R544" s="298"/>
      <c r="S544" s="304"/>
    </row>
    <row r="545" spans="1:19" ht="15.75" thickBot="1" x14ac:dyDescent="0.3">
      <c r="A545" s="307"/>
      <c r="B545" s="309"/>
      <c r="C545" s="22" t="s">
        <v>55</v>
      </c>
      <c r="D545" s="23">
        <v>5.7</v>
      </c>
      <c r="E545" s="23">
        <v>5.7</v>
      </c>
      <c r="F545" s="23">
        <v>5.7</v>
      </c>
      <c r="G545" s="23"/>
      <c r="H545" s="23"/>
      <c r="I545" s="279">
        <f t="shared" si="39"/>
        <v>1</v>
      </c>
      <c r="J545" s="316"/>
      <c r="K545" s="325"/>
      <c r="L545" s="325"/>
      <c r="M545" s="349"/>
      <c r="N545" s="25"/>
      <c r="O545" s="25"/>
      <c r="P545" s="25"/>
      <c r="Q545" s="25"/>
      <c r="R545" s="299"/>
      <c r="S545" s="305"/>
    </row>
    <row r="546" spans="1:19" x14ac:dyDescent="0.25">
      <c r="A546" s="306" t="s">
        <v>946</v>
      </c>
      <c r="B546" s="308" t="s">
        <v>947</v>
      </c>
      <c r="C546" s="17"/>
      <c r="D546" s="18">
        <f>SUM(D547:D548)</f>
        <v>263.89999999999998</v>
      </c>
      <c r="E546" s="18">
        <f>SUM(E547:E548)</f>
        <v>263.89999999999998</v>
      </c>
      <c r="F546" s="18">
        <f>SUM(F547:F548)</f>
        <v>260.7</v>
      </c>
      <c r="G546" s="18">
        <f>SUM(G547:G548)</f>
        <v>3.2</v>
      </c>
      <c r="H546" s="18">
        <f>SUM(H547:H548)</f>
        <v>3.2</v>
      </c>
      <c r="I546" s="261">
        <f t="shared" si="39"/>
        <v>0.98787419477074656</v>
      </c>
      <c r="J546" s="314" t="s">
        <v>905</v>
      </c>
      <c r="K546" s="323" t="s">
        <v>57</v>
      </c>
      <c r="L546" s="323">
        <v>1</v>
      </c>
      <c r="M546" s="347">
        <v>1</v>
      </c>
      <c r="N546" s="20"/>
      <c r="O546" s="20"/>
      <c r="P546" s="20"/>
      <c r="Q546" s="20"/>
      <c r="R546" s="297"/>
      <c r="S546" s="303"/>
    </row>
    <row r="547" spans="1:19" x14ac:dyDescent="0.25">
      <c r="A547" s="406"/>
      <c r="B547" s="310"/>
      <c r="C547" s="22" t="s">
        <v>881</v>
      </c>
      <c r="D547" s="23">
        <v>256</v>
      </c>
      <c r="E547" s="23">
        <v>256</v>
      </c>
      <c r="F547" s="23">
        <v>256</v>
      </c>
      <c r="G547" s="23"/>
      <c r="H547" s="54"/>
      <c r="I547" s="262">
        <f t="shared" si="39"/>
        <v>1</v>
      </c>
      <c r="J547" s="315"/>
      <c r="K547" s="324"/>
      <c r="L547" s="324"/>
      <c r="M547" s="348"/>
      <c r="N547" s="25"/>
      <c r="O547" s="25"/>
      <c r="P547" s="25"/>
      <c r="Q547" s="25"/>
      <c r="R547" s="298"/>
      <c r="S547" s="304"/>
    </row>
    <row r="548" spans="1:19" ht="15.75" thickBot="1" x14ac:dyDescent="0.3">
      <c r="A548" s="307"/>
      <c r="B548" s="309"/>
      <c r="C548" s="22" t="s">
        <v>55</v>
      </c>
      <c r="D548" s="23">
        <v>7.9</v>
      </c>
      <c r="E548" s="23">
        <v>7.9</v>
      </c>
      <c r="F548" s="23">
        <v>4.7</v>
      </c>
      <c r="G548" s="23">
        <v>3.2</v>
      </c>
      <c r="H548" s="23">
        <v>3.2</v>
      </c>
      <c r="I548" s="279">
        <f t="shared" si="39"/>
        <v>0.59493670886075944</v>
      </c>
      <c r="J548" s="316"/>
      <c r="K548" s="325"/>
      <c r="L548" s="325"/>
      <c r="M548" s="349"/>
      <c r="N548" s="25"/>
      <c r="O548" s="25"/>
      <c r="P548" s="25"/>
      <c r="Q548" s="25"/>
      <c r="R548" s="299"/>
      <c r="S548" s="305"/>
    </row>
    <row r="549" spans="1:19" ht="25.5" customHeight="1" x14ac:dyDescent="0.25">
      <c r="A549" s="306" t="s">
        <v>948</v>
      </c>
      <c r="B549" s="308" t="s">
        <v>949</v>
      </c>
      <c r="C549" s="17"/>
      <c r="D549" s="18">
        <f>SUM(D550:D551)</f>
        <v>88.100000000000009</v>
      </c>
      <c r="E549" s="18">
        <f>SUM(E550:E551)</f>
        <v>88.100000000000009</v>
      </c>
      <c r="F549" s="18">
        <f>SUM(F550:F551)</f>
        <v>84.9</v>
      </c>
      <c r="G549" s="18">
        <f>SUM(G550:G551)</f>
        <v>3.2</v>
      </c>
      <c r="H549" s="18">
        <f>SUM(H550:H551)</f>
        <v>3.2</v>
      </c>
      <c r="I549" s="261">
        <f t="shared" si="39"/>
        <v>0.96367763904653803</v>
      </c>
      <c r="J549" s="314" t="s">
        <v>905</v>
      </c>
      <c r="K549" s="323" t="s">
        <v>57</v>
      </c>
      <c r="L549" s="323">
        <v>1</v>
      </c>
      <c r="M549" s="347">
        <v>1</v>
      </c>
      <c r="N549" s="20"/>
      <c r="O549" s="20"/>
      <c r="P549" s="20"/>
      <c r="Q549" s="20"/>
      <c r="R549" s="297"/>
      <c r="S549" s="303"/>
    </row>
    <row r="550" spans="1:19" x14ac:dyDescent="0.25">
      <c r="A550" s="406"/>
      <c r="B550" s="310"/>
      <c r="C550" s="22" t="s">
        <v>881</v>
      </c>
      <c r="D550" s="23">
        <v>83.4</v>
      </c>
      <c r="E550" s="23">
        <v>83.4</v>
      </c>
      <c r="F550" s="23">
        <v>83.4</v>
      </c>
      <c r="G550" s="23"/>
      <c r="H550" s="54"/>
      <c r="I550" s="262">
        <f t="shared" si="39"/>
        <v>1</v>
      </c>
      <c r="J550" s="315"/>
      <c r="K550" s="324"/>
      <c r="L550" s="324"/>
      <c r="M550" s="348"/>
      <c r="N550" s="25"/>
      <c r="O550" s="25"/>
      <c r="P550" s="25"/>
      <c r="Q550" s="25"/>
      <c r="R550" s="298"/>
      <c r="S550" s="304"/>
    </row>
    <row r="551" spans="1:19" ht="15.75" thickBot="1" x14ac:dyDescent="0.3">
      <c r="A551" s="307"/>
      <c r="B551" s="309"/>
      <c r="C551" s="22" t="s">
        <v>55</v>
      </c>
      <c r="D551" s="23">
        <v>4.7</v>
      </c>
      <c r="E551" s="23">
        <v>4.7</v>
      </c>
      <c r="F551" s="23">
        <v>1.5</v>
      </c>
      <c r="G551" s="23">
        <v>3.2</v>
      </c>
      <c r="H551" s="23">
        <v>3.2</v>
      </c>
      <c r="I551" s="279">
        <f t="shared" si="39"/>
        <v>0.31914893617021273</v>
      </c>
      <c r="J551" s="316"/>
      <c r="K551" s="325"/>
      <c r="L551" s="325"/>
      <c r="M551" s="349"/>
      <c r="N551" s="25"/>
      <c r="O551" s="25"/>
      <c r="P551" s="25"/>
      <c r="Q551" s="25"/>
      <c r="R551" s="299"/>
      <c r="S551" s="305"/>
    </row>
    <row r="552" spans="1:19" x14ac:dyDescent="0.25">
      <c r="A552" s="306" t="s">
        <v>950</v>
      </c>
      <c r="B552" s="308" t="s">
        <v>951</v>
      </c>
      <c r="C552" s="17"/>
      <c r="D552" s="18">
        <f>SUM(D553:D554)</f>
        <v>87.8</v>
      </c>
      <c r="E552" s="18">
        <f>SUM(E553:E554)</f>
        <v>87.8</v>
      </c>
      <c r="F552" s="18">
        <f>SUM(F553:F554)</f>
        <v>87.8</v>
      </c>
      <c r="G552" s="18"/>
      <c r="H552" s="18"/>
      <c r="I552" s="261">
        <f t="shared" si="39"/>
        <v>1</v>
      </c>
      <c r="J552" s="314" t="s">
        <v>905</v>
      </c>
      <c r="K552" s="323" t="s">
        <v>57</v>
      </c>
      <c r="L552" s="323">
        <v>1</v>
      </c>
      <c r="M552" s="347">
        <v>1</v>
      </c>
      <c r="N552" s="20"/>
      <c r="O552" s="20"/>
      <c r="P552" s="20"/>
      <c r="Q552" s="20"/>
      <c r="R552" s="297"/>
      <c r="S552" s="303"/>
    </row>
    <row r="553" spans="1:19" x14ac:dyDescent="0.25">
      <c r="A553" s="406"/>
      <c r="B553" s="310"/>
      <c r="C553" s="22" t="s">
        <v>881</v>
      </c>
      <c r="D553" s="23">
        <v>86.2</v>
      </c>
      <c r="E553" s="23">
        <v>86.2</v>
      </c>
      <c r="F553" s="23">
        <v>86.2</v>
      </c>
      <c r="G553" s="23"/>
      <c r="H553" s="54"/>
      <c r="I553" s="262">
        <f t="shared" si="39"/>
        <v>1</v>
      </c>
      <c r="J553" s="315"/>
      <c r="K553" s="324"/>
      <c r="L553" s="324"/>
      <c r="M553" s="348"/>
      <c r="N553" s="25"/>
      <c r="O553" s="25"/>
      <c r="P553" s="25"/>
      <c r="Q553" s="25"/>
      <c r="R553" s="298"/>
      <c r="S553" s="304"/>
    </row>
    <row r="554" spans="1:19" ht="15.75" thickBot="1" x14ac:dyDescent="0.3">
      <c r="A554" s="307"/>
      <c r="B554" s="309"/>
      <c r="C554" s="22" t="s">
        <v>55</v>
      </c>
      <c r="D554" s="23">
        <v>1.6</v>
      </c>
      <c r="E554" s="23">
        <v>1.6</v>
      </c>
      <c r="F554" s="23">
        <v>1.6</v>
      </c>
      <c r="G554" s="23"/>
      <c r="H554" s="23"/>
      <c r="I554" s="279">
        <f t="shared" si="39"/>
        <v>1</v>
      </c>
      <c r="J554" s="316"/>
      <c r="K554" s="325"/>
      <c r="L554" s="325"/>
      <c r="M554" s="349"/>
      <c r="N554" s="25"/>
      <c r="O554" s="25"/>
      <c r="P554" s="25"/>
      <c r="Q554" s="25"/>
      <c r="R554" s="299"/>
      <c r="S554" s="305"/>
    </row>
    <row r="555" spans="1:19" ht="51.75" thickBot="1" x14ac:dyDescent="0.3">
      <c r="A555" s="16" t="s">
        <v>952</v>
      </c>
      <c r="B555" s="42" t="s">
        <v>953</v>
      </c>
      <c r="C555" s="17" t="s">
        <v>32</v>
      </c>
      <c r="D555" s="26">
        <v>103.6</v>
      </c>
      <c r="E555" s="26">
        <v>103.6</v>
      </c>
      <c r="F555" s="26">
        <v>103.6</v>
      </c>
      <c r="G555" s="26"/>
      <c r="H555" s="26"/>
      <c r="I555" s="264">
        <f t="shared" si="39"/>
        <v>1</v>
      </c>
      <c r="J555" s="48" t="s">
        <v>954</v>
      </c>
      <c r="K555" s="19" t="s">
        <v>57</v>
      </c>
      <c r="L555" s="98">
        <v>1400</v>
      </c>
      <c r="M555" s="136">
        <v>1160</v>
      </c>
      <c r="N555" s="20"/>
      <c r="O555" s="20"/>
      <c r="P555" s="20"/>
      <c r="Q555" s="20"/>
      <c r="R555" s="147"/>
      <c r="S555" s="52" t="s">
        <v>955</v>
      </c>
    </row>
    <row r="556" spans="1:19" ht="64.5" thickBot="1" x14ac:dyDescent="0.3">
      <c r="A556" s="16" t="s">
        <v>956</v>
      </c>
      <c r="B556" s="42" t="s">
        <v>957</v>
      </c>
      <c r="C556" s="17" t="s">
        <v>32</v>
      </c>
      <c r="D556" s="26">
        <v>107.8</v>
      </c>
      <c r="E556" s="26">
        <v>107.8</v>
      </c>
      <c r="F556" s="26"/>
      <c r="G556" s="26">
        <v>107.8</v>
      </c>
      <c r="H556" s="26">
        <v>107.8</v>
      </c>
      <c r="I556" s="264">
        <f t="shared" si="39"/>
        <v>0</v>
      </c>
      <c r="J556" s="48" t="s">
        <v>958</v>
      </c>
      <c r="K556" s="19" t="s">
        <v>29</v>
      </c>
      <c r="L556" s="19">
        <v>100</v>
      </c>
      <c r="M556" s="111">
        <v>100</v>
      </c>
      <c r="N556" s="20"/>
      <c r="O556" s="20"/>
      <c r="P556" s="20"/>
      <c r="Q556" s="20"/>
      <c r="R556" s="48" t="s">
        <v>959</v>
      </c>
      <c r="S556" s="120"/>
    </row>
    <row r="557" spans="1:19" ht="38.25" x14ac:dyDescent="0.25">
      <c r="A557" s="306" t="s">
        <v>960</v>
      </c>
      <c r="B557" s="308" t="s">
        <v>961</v>
      </c>
      <c r="C557" s="17"/>
      <c r="D557" s="18">
        <f>SUM(D558:D560)</f>
        <v>492.40000000000003</v>
      </c>
      <c r="E557" s="18">
        <f>SUM(E558:E560)</f>
        <v>492.40000000000003</v>
      </c>
      <c r="F557" s="18">
        <f>SUM(F558:F560)</f>
        <v>488.90000000000003</v>
      </c>
      <c r="G557" s="18">
        <f>SUM(G558:G560)</f>
        <v>3.5</v>
      </c>
      <c r="H557" s="18">
        <f>SUM(H558:H560)</f>
        <v>3.5</v>
      </c>
      <c r="I557" s="261">
        <f t="shared" si="39"/>
        <v>0.99289195775792038</v>
      </c>
      <c r="J557" s="48" t="s">
        <v>962</v>
      </c>
      <c r="K557" s="19" t="s">
        <v>57</v>
      </c>
      <c r="L557" s="19">
        <v>30</v>
      </c>
      <c r="M557" s="111">
        <v>30</v>
      </c>
      <c r="N557" s="20"/>
      <c r="O557" s="20"/>
      <c r="P557" s="20"/>
      <c r="Q557" s="20"/>
      <c r="R557" s="311"/>
      <c r="S557" s="294"/>
    </row>
    <row r="558" spans="1:19" ht="25.5" customHeight="1" x14ac:dyDescent="0.25">
      <c r="A558" s="406"/>
      <c r="B558" s="310"/>
      <c r="C558" s="22" t="s">
        <v>30</v>
      </c>
      <c r="D558" s="23">
        <v>100.7</v>
      </c>
      <c r="E558" s="23">
        <v>100.7</v>
      </c>
      <c r="F558" s="23">
        <v>100.7</v>
      </c>
      <c r="G558" s="23"/>
      <c r="H558" s="54"/>
      <c r="I558" s="262">
        <f t="shared" si="39"/>
        <v>1</v>
      </c>
      <c r="J558" s="333" t="s">
        <v>963</v>
      </c>
      <c r="K558" s="334" t="s">
        <v>57</v>
      </c>
      <c r="L558" s="334">
        <v>27</v>
      </c>
      <c r="M558" s="353">
        <v>27</v>
      </c>
      <c r="N558" s="25"/>
      <c r="O558" s="25"/>
      <c r="P558" s="25"/>
      <c r="Q558" s="25"/>
      <c r="R558" s="312"/>
      <c r="S558" s="295"/>
    </row>
    <row r="559" spans="1:19" x14ac:dyDescent="0.25">
      <c r="A559" s="406"/>
      <c r="B559" s="310"/>
      <c r="C559" s="22" t="s">
        <v>481</v>
      </c>
      <c r="D559" s="23">
        <v>33.1</v>
      </c>
      <c r="E559" s="23">
        <v>33.1</v>
      </c>
      <c r="F559" s="23">
        <v>33.1</v>
      </c>
      <c r="G559" s="23"/>
      <c r="H559" s="54"/>
      <c r="I559" s="262">
        <f t="shared" si="39"/>
        <v>1</v>
      </c>
      <c r="J559" s="315"/>
      <c r="K559" s="324"/>
      <c r="L559" s="324"/>
      <c r="M559" s="348"/>
      <c r="N559" s="25"/>
      <c r="O559" s="25"/>
      <c r="P559" s="25"/>
      <c r="Q559" s="25"/>
      <c r="R559" s="312"/>
      <c r="S559" s="295"/>
    </row>
    <row r="560" spans="1:19" ht="15.75" thickBot="1" x14ac:dyDescent="0.3">
      <c r="A560" s="307"/>
      <c r="B560" s="309"/>
      <c r="C560" s="22" t="s">
        <v>55</v>
      </c>
      <c r="D560" s="23">
        <v>358.6</v>
      </c>
      <c r="E560" s="23">
        <v>358.6</v>
      </c>
      <c r="F560" s="23">
        <v>355.1</v>
      </c>
      <c r="G560" s="23">
        <v>3.5</v>
      </c>
      <c r="H560" s="23">
        <v>3.5</v>
      </c>
      <c r="I560" s="279">
        <f t="shared" si="39"/>
        <v>0.99023982152816503</v>
      </c>
      <c r="J560" s="316"/>
      <c r="K560" s="325"/>
      <c r="L560" s="325"/>
      <c r="M560" s="349"/>
      <c r="N560" s="25"/>
      <c r="O560" s="25"/>
      <c r="P560" s="25"/>
      <c r="Q560" s="25"/>
      <c r="R560" s="313"/>
      <c r="S560" s="296"/>
    </row>
    <row r="561" spans="1:19" ht="39" thickBot="1" x14ac:dyDescent="0.3">
      <c r="A561" s="16" t="s">
        <v>964</v>
      </c>
      <c r="B561" s="42" t="s">
        <v>965</v>
      </c>
      <c r="C561" s="17" t="s">
        <v>32</v>
      </c>
      <c r="D561" s="26">
        <v>138</v>
      </c>
      <c r="E561" s="26">
        <v>138</v>
      </c>
      <c r="F561" s="26">
        <v>138</v>
      </c>
      <c r="G561" s="26"/>
      <c r="H561" s="26"/>
      <c r="I561" s="264">
        <f t="shared" si="39"/>
        <v>1</v>
      </c>
      <c r="J561" s="48" t="s">
        <v>966</v>
      </c>
      <c r="K561" s="19" t="s">
        <v>57</v>
      </c>
      <c r="L561" s="19">
        <v>30</v>
      </c>
      <c r="M561" s="111">
        <v>30</v>
      </c>
      <c r="N561" s="20"/>
      <c r="O561" s="20"/>
      <c r="P561" s="20"/>
      <c r="Q561" s="20"/>
      <c r="R561" s="147"/>
      <c r="S561" s="52"/>
    </row>
    <row r="562" spans="1:19" ht="30" customHeight="1" x14ac:dyDescent="0.25">
      <c r="A562" s="306" t="s">
        <v>967</v>
      </c>
      <c r="B562" s="308" t="s">
        <v>968</v>
      </c>
      <c r="C562" s="17"/>
      <c r="D562" s="18">
        <f>SUM(D563:D564)</f>
        <v>63</v>
      </c>
      <c r="E562" s="18">
        <f>SUM(E563:E564)</f>
        <v>63</v>
      </c>
      <c r="F562" s="18">
        <f>SUM(F563:F564)</f>
        <v>46.3</v>
      </c>
      <c r="G562" s="18">
        <f>SUM(G563:G564)</f>
        <v>16.7</v>
      </c>
      <c r="H562" s="18">
        <f>SUM(H563:H564)</f>
        <v>16.7</v>
      </c>
      <c r="I562" s="261">
        <f t="shared" si="39"/>
        <v>0.73492063492063486</v>
      </c>
      <c r="J562" s="314" t="s">
        <v>969</v>
      </c>
      <c r="K562" s="323" t="s">
        <v>57</v>
      </c>
      <c r="L562" s="323">
        <v>2</v>
      </c>
      <c r="M562" s="424">
        <v>1</v>
      </c>
      <c r="N562" s="20"/>
      <c r="O562" s="20"/>
      <c r="P562" s="20"/>
      <c r="Q562" s="20"/>
      <c r="R562" s="308" t="s">
        <v>1755</v>
      </c>
      <c r="S562" s="364" t="s">
        <v>1850</v>
      </c>
    </row>
    <row r="563" spans="1:19" x14ac:dyDescent="0.25">
      <c r="A563" s="406"/>
      <c r="B563" s="310"/>
      <c r="C563" s="22" t="s">
        <v>32</v>
      </c>
      <c r="D563" s="23">
        <v>13.3</v>
      </c>
      <c r="E563" s="23">
        <v>13.3</v>
      </c>
      <c r="F563" s="23"/>
      <c r="G563" s="23">
        <v>13.3</v>
      </c>
      <c r="H563" s="54">
        <v>13.3</v>
      </c>
      <c r="I563" s="262">
        <f t="shared" si="39"/>
        <v>0</v>
      </c>
      <c r="J563" s="315"/>
      <c r="K563" s="324"/>
      <c r="L563" s="324"/>
      <c r="M563" s="425"/>
      <c r="N563" s="25"/>
      <c r="O563" s="25"/>
      <c r="P563" s="25"/>
      <c r="Q563" s="25"/>
      <c r="R563" s="310"/>
      <c r="S563" s="422"/>
    </row>
    <row r="564" spans="1:19" ht="21.75" customHeight="1" thickBot="1" x14ac:dyDescent="0.3">
      <c r="A564" s="307"/>
      <c r="B564" s="309"/>
      <c r="C564" s="22" t="s">
        <v>55</v>
      </c>
      <c r="D564" s="23">
        <v>49.7</v>
      </c>
      <c r="E564" s="23">
        <v>49.7</v>
      </c>
      <c r="F564" s="23">
        <v>46.3</v>
      </c>
      <c r="G564" s="23">
        <v>3.4</v>
      </c>
      <c r="H564" s="23">
        <v>3.4</v>
      </c>
      <c r="I564" s="279">
        <f t="shared" ref="I564:I570" si="40">SUM(F564/E564)</f>
        <v>0.93158953722333993</v>
      </c>
      <c r="J564" s="316"/>
      <c r="K564" s="325"/>
      <c r="L564" s="325"/>
      <c r="M564" s="426"/>
      <c r="N564" s="25"/>
      <c r="O564" s="25"/>
      <c r="P564" s="25"/>
      <c r="Q564" s="25"/>
      <c r="R564" s="309"/>
      <c r="S564" s="423"/>
    </row>
    <row r="565" spans="1:19" ht="29.25" customHeight="1" x14ac:dyDescent="0.25">
      <c r="A565" s="306" t="s">
        <v>970</v>
      </c>
      <c r="B565" s="308" t="s">
        <v>971</v>
      </c>
      <c r="C565" s="17"/>
      <c r="D565" s="18">
        <f>SUM(D566:D567)</f>
        <v>18.7</v>
      </c>
      <c r="E565" s="18">
        <f>SUM(E566:E567)</f>
        <v>18.7</v>
      </c>
      <c r="F565" s="18">
        <f>SUM(F566:F567)</f>
        <v>8.6999999999999993</v>
      </c>
      <c r="G565" s="18">
        <f>SUM(G566:G567)</f>
        <v>10</v>
      </c>
      <c r="H565" s="18">
        <f>SUM(H566:H567)</f>
        <v>10</v>
      </c>
      <c r="I565" s="261">
        <f t="shared" si="40"/>
        <v>0.46524064171122992</v>
      </c>
      <c r="J565" s="48" t="s">
        <v>972</v>
      </c>
      <c r="K565" s="19" t="s">
        <v>219</v>
      </c>
      <c r="L565" s="19">
        <v>4</v>
      </c>
      <c r="M565" s="111">
        <v>4</v>
      </c>
      <c r="N565" s="20"/>
      <c r="O565" s="20"/>
      <c r="P565" s="20"/>
      <c r="Q565" s="20"/>
      <c r="R565" s="308" t="s">
        <v>973</v>
      </c>
      <c r="S565" s="364" t="s">
        <v>1851</v>
      </c>
    </row>
    <row r="566" spans="1:19" ht="38.25" x14ac:dyDescent="0.25">
      <c r="A566" s="406"/>
      <c r="B566" s="310"/>
      <c r="C566" s="22" t="s">
        <v>32</v>
      </c>
      <c r="D566" s="23">
        <v>3.5</v>
      </c>
      <c r="E566" s="23">
        <v>3.5</v>
      </c>
      <c r="F566" s="23"/>
      <c r="G566" s="23">
        <v>3.5</v>
      </c>
      <c r="H566" s="54">
        <v>3.5</v>
      </c>
      <c r="I566" s="262">
        <f t="shared" si="40"/>
        <v>0</v>
      </c>
      <c r="J566" s="55" t="s">
        <v>974</v>
      </c>
      <c r="K566" s="24" t="s">
        <v>57</v>
      </c>
      <c r="L566" s="24">
        <v>5</v>
      </c>
      <c r="M566" s="105">
        <v>2</v>
      </c>
      <c r="N566" s="25"/>
      <c r="O566" s="25"/>
      <c r="P566" s="25"/>
      <c r="Q566" s="25"/>
      <c r="R566" s="310"/>
      <c r="S566" s="365"/>
    </row>
    <row r="567" spans="1:19" ht="18.75" customHeight="1" thickBot="1" x14ac:dyDescent="0.3">
      <c r="A567" s="307"/>
      <c r="B567" s="309"/>
      <c r="C567" s="22" t="s">
        <v>481</v>
      </c>
      <c r="D567" s="23">
        <v>15.2</v>
      </c>
      <c r="E567" s="23">
        <v>15.2</v>
      </c>
      <c r="F567" s="23">
        <v>8.6999999999999993</v>
      </c>
      <c r="G567" s="23">
        <v>6.5</v>
      </c>
      <c r="H567" s="23">
        <v>6.5</v>
      </c>
      <c r="I567" s="279">
        <f t="shared" si="40"/>
        <v>0.57236842105263153</v>
      </c>
      <c r="J567" s="49" t="s">
        <v>975</v>
      </c>
      <c r="K567" s="24" t="s">
        <v>57</v>
      </c>
      <c r="L567" s="24">
        <v>20</v>
      </c>
      <c r="M567" s="105">
        <v>7</v>
      </c>
      <c r="N567" s="25"/>
      <c r="O567" s="25"/>
      <c r="P567" s="25"/>
      <c r="Q567" s="25"/>
      <c r="R567" s="309"/>
      <c r="S567" s="366"/>
    </row>
    <row r="568" spans="1:19" ht="39.75" customHeight="1" x14ac:dyDescent="0.25">
      <c r="A568" s="306" t="s">
        <v>976</v>
      </c>
      <c r="B568" s="308" t="s">
        <v>977</v>
      </c>
      <c r="C568" s="17"/>
      <c r="D568" s="18">
        <f>SUM(D569:D570)</f>
        <v>252.6</v>
      </c>
      <c r="E568" s="18">
        <f>SUM(E569:E570)</f>
        <v>252.6</v>
      </c>
      <c r="F568" s="18">
        <f>SUM(F569:F570)</f>
        <v>21.9</v>
      </c>
      <c r="G568" s="18">
        <f>SUM(G569:G570)</f>
        <v>230.7</v>
      </c>
      <c r="H568" s="18">
        <f>SUM(H569:H570)</f>
        <v>230.7</v>
      </c>
      <c r="I568" s="261">
        <f t="shared" si="40"/>
        <v>8.6698337292161518E-2</v>
      </c>
      <c r="J568" s="314" t="s">
        <v>978</v>
      </c>
      <c r="K568" s="323" t="s">
        <v>57</v>
      </c>
      <c r="L568" s="323">
        <v>20</v>
      </c>
      <c r="M568" s="346">
        <v>68</v>
      </c>
      <c r="N568" s="20"/>
      <c r="O568" s="20"/>
      <c r="P568" s="20"/>
      <c r="Q568" s="20"/>
      <c r="R568" s="308" t="s">
        <v>979</v>
      </c>
      <c r="S568" s="317"/>
    </row>
    <row r="569" spans="1:19" x14ac:dyDescent="0.25">
      <c r="A569" s="406"/>
      <c r="B569" s="310"/>
      <c r="C569" s="22" t="s">
        <v>481</v>
      </c>
      <c r="D569" s="23">
        <v>200</v>
      </c>
      <c r="E569" s="23">
        <v>200</v>
      </c>
      <c r="F569" s="23">
        <v>21.9</v>
      </c>
      <c r="G569" s="23">
        <v>178.1</v>
      </c>
      <c r="H569" s="54">
        <v>178.1</v>
      </c>
      <c r="I569" s="262">
        <f t="shared" si="40"/>
        <v>0.10949999999999999</v>
      </c>
      <c r="J569" s="315"/>
      <c r="K569" s="324"/>
      <c r="L569" s="324"/>
      <c r="M569" s="336"/>
      <c r="N569" s="25"/>
      <c r="O569" s="25"/>
      <c r="P569" s="25"/>
      <c r="Q569" s="25"/>
      <c r="R569" s="310"/>
      <c r="S569" s="318"/>
    </row>
    <row r="570" spans="1:19" ht="15.75" thickBot="1" x14ac:dyDescent="0.3">
      <c r="A570" s="307"/>
      <c r="B570" s="309"/>
      <c r="C570" s="22" t="s">
        <v>55</v>
      </c>
      <c r="D570" s="23">
        <v>52.6</v>
      </c>
      <c r="E570" s="23">
        <v>52.6</v>
      </c>
      <c r="F570" s="23"/>
      <c r="G570" s="23">
        <v>52.6</v>
      </c>
      <c r="H570" s="23">
        <v>52.6</v>
      </c>
      <c r="I570" s="279">
        <f t="shared" si="40"/>
        <v>0</v>
      </c>
      <c r="J570" s="316"/>
      <c r="K570" s="325"/>
      <c r="L570" s="325"/>
      <c r="M570" s="337"/>
      <c r="N570" s="25"/>
      <c r="O570" s="25"/>
      <c r="P570" s="25"/>
      <c r="Q570" s="25"/>
      <c r="R570" s="309"/>
      <c r="S570" s="319"/>
    </row>
    <row r="571" spans="1:19" ht="51.75" thickBot="1" x14ac:dyDescent="0.3">
      <c r="A571" s="8" t="s">
        <v>980</v>
      </c>
      <c r="B571" s="40" t="s">
        <v>981</v>
      </c>
      <c r="C571" s="9"/>
      <c r="D571" s="10">
        <f>SUM(D572:D572)</f>
        <v>20699.900000000001</v>
      </c>
      <c r="E571" s="10">
        <f>SUM(E572:E572)</f>
        <v>20699.900000000001</v>
      </c>
      <c r="F571" s="10">
        <f>SUM(F572:F572)</f>
        <v>15805.4</v>
      </c>
      <c r="G571" s="10">
        <f>SUM(G572:G572)</f>
        <v>4894.5</v>
      </c>
      <c r="H571" s="10">
        <f>SUM(H572:H572)</f>
        <v>4894.5</v>
      </c>
      <c r="I571" s="259">
        <f>SUM(F571/E571)</f>
        <v>0.76354958236513215</v>
      </c>
      <c r="J571" s="47" t="s">
        <v>982</v>
      </c>
      <c r="K571" s="11" t="s">
        <v>57</v>
      </c>
      <c r="L571" s="11">
        <v>40</v>
      </c>
      <c r="M571" s="11">
        <v>40</v>
      </c>
      <c r="N571" s="12"/>
      <c r="O571" s="12"/>
      <c r="P571" s="12"/>
      <c r="Q571" s="12"/>
      <c r="R571" s="370"/>
      <c r="S571" s="371"/>
    </row>
    <row r="572" spans="1:19" ht="39" thickBot="1" x14ac:dyDescent="0.3">
      <c r="A572" s="13" t="s">
        <v>983</v>
      </c>
      <c r="B572" s="41" t="s">
        <v>984</v>
      </c>
      <c r="C572" s="14"/>
      <c r="D572" s="15">
        <f>D573+D574+D575+D580+D581+D582+D585+D588+D595+D598+D601+D604+D609+D613+D614+D617+D621+D624+D627+D632+D634+D636+D639</f>
        <v>20699.900000000001</v>
      </c>
      <c r="E572" s="15">
        <f>E573+E574+E575+E580+E581+E582+E585+E588+E595+E598+E601+E604+E609+E613+E614+E617+E621+E624+E627+E632+E634+E636+E639</f>
        <v>20699.900000000001</v>
      </c>
      <c r="F572" s="15">
        <f>F573+F574+F575+F580+F581+F582+F585+F588+F595+F598+F601+F604+F609+F613+F614+F617+F621+F624+F627+F632+F634+F636+F639</f>
        <v>15805.4</v>
      </c>
      <c r="G572" s="15">
        <f>G573+G574+G575+G580+G581+G582+G585+G588+G595+G598+G601+G604+G609+G613+G614+G617+G621+G624+G627+G632+G634+G636+G639</f>
        <v>4894.5</v>
      </c>
      <c r="H572" s="15">
        <f>H573+H574+H575+H580+H581+H582+H585+H588+H595+H598+H601+H604+H609+H613+H614+H617+H621+H624+H627+H632+H634+H636+H639</f>
        <v>4894.5</v>
      </c>
      <c r="I572" s="260">
        <f>SUM(F572/E572)</f>
        <v>0.76354958236513215</v>
      </c>
      <c r="J572" s="329"/>
      <c r="K572" s="330"/>
      <c r="L572" s="330"/>
      <c r="M572" s="330"/>
      <c r="N572" s="330"/>
      <c r="O572" s="330"/>
      <c r="P572" s="330"/>
      <c r="Q572" s="330"/>
      <c r="R572" s="330"/>
      <c r="S572" s="331"/>
    </row>
    <row r="573" spans="1:19" ht="39" thickBot="1" x14ac:dyDescent="0.3">
      <c r="A573" s="16" t="s">
        <v>985</v>
      </c>
      <c r="B573" s="42" t="s">
        <v>986</v>
      </c>
      <c r="C573" s="17" t="s">
        <v>32</v>
      </c>
      <c r="D573" s="26">
        <v>306</v>
      </c>
      <c r="E573" s="26">
        <v>306</v>
      </c>
      <c r="F573" s="26">
        <v>306</v>
      </c>
      <c r="G573" s="26"/>
      <c r="H573" s="26"/>
      <c r="I573" s="264">
        <f t="shared" ref="I573:I590" si="41">SUM(F573/E573)</f>
        <v>1</v>
      </c>
      <c r="J573" s="48" t="s">
        <v>987</v>
      </c>
      <c r="K573" s="19" t="s">
        <v>29</v>
      </c>
      <c r="L573" s="19">
        <v>25</v>
      </c>
      <c r="M573" s="111">
        <v>25</v>
      </c>
      <c r="N573" s="20"/>
      <c r="O573" s="20"/>
      <c r="P573" s="20"/>
      <c r="Q573" s="20"/>
      <c r="R573" s="48" t="s">
        <v>988</v>
      </c>
      <c r="S573" s="52"/>
    </row>
    <row r="574" spans="1:19" ht="39" thickBot="1" x14ac:dyDescent="0.3">
      <c r="A574" s="16" t="s">
        <v>989</v>
      </c>
      <c r="B574" s="42" t="s">
        <v>990</v>
      </c>
      <c r="C574" s="17" t="s">
        <v>32</v>
      </c>
      <c r="D574" s="26">
        <v>957.3</v>
      </c>
      <c r="E574" s="26">
        <v>957.3</v>
      </c>
      <c r="F574" s="26">
        <v>562.29999999999995</v>
      </c>
      <c r="G574" s="26">
        <v>395</v>
      </c>
      <c r="H574" s="26">
        <v>395</v>
      </c>
      <c r="I574" s="264">
        <f t="shared" si="41"/>
        <v>0.58738117622479891</v>
      </c>
      <c r="J574" s="48" t="s">
        <v>991</v>
      </c>
      <c r="K574" s="19" t="s">
        <v>29</v>
      </c>
      <c r="L574" s="19">
        <v>60</v>
      </c>
      <c r="M574" s="107">
        <v>59</v>
      </c>
      <c r="N574" s="20"/>
      <c r="O574" s="20"/>
      <c r="P574" s="20"/>
      <c r="Q574" s="20"/>
      <c r="R574" s="48" t="s">
        <v>1852</v>
      </c>
      <c r="S574" s="84" t="s">
        <v>1853</v>
      </c>
    </row>
    <row r="575" spans="1:19" ht="24" customHeight="1" x14ac:dyDescent="0.25">
      <c r="A575" s="306" t="s">
        <v>992</v>
      </c>
      <c r="B575" s="308" t="s">
        <v>993</v>
      </c>
      <c r="C575" s="17"/>
      <c r="D575" s="18">
        <f>SUM(D576:D579)</f>
        <v>1532.8</v>
      </c>
      <c r="E575" s="18">
        <f>SUM(E576:E579)</f>
        <v>1532.8</v>
      </c>
      <c r="F575" s="18">
        <f>SUM(F576:F579)+0.1</f>
        <v>1424.1</v>
      </c>
      <c r="G575" s="18">
        <f>SUM(G576:G579)-0.1</f>
        <v>108.70000000000002</v>
      </c>
      <c r="H575" s="18">
        <f>SUM(H576:H579)-0.1</f>
        <v>108.70000000000002</v>
      </c>
      <c r="I575" s="261">
        <f t="shared" si="41"/>
        <v>0.9290840292275574</v>
      </c>
      <c r="J575" s="314" t="s">
        <v>994</v>
      </c>
      <c r="K575" s="323" t="s">
        <v>29</v>
      </c>
      <c r="L575" s="323">
        <v>100</v>
      </c>
      <c r="M575" s="354">
        <v>93</v>
      </c>
      <c r="N575" s="20"/>
      <c r="O575" s="20"/>
      <c r="P575" s="20"/>
      <c r="Q575" s="20"/>
      <c r="R575" s="308" t="s">
        <v>1854</v>
      </c>
      <c r="S575" s="317"/>
    </row>
    <row r="576" spans="1:19" x14ac:dyDescent="0.25">
      <c r="A576" s="406"/>
      <c r="B576" s="310"/>
      <c r="C576" s="22" t="s">
        <v>30</v>
      </c>
      <c r="D576" s="23">
        <v>134.80000000000001</v>
      </c>
      <c r="E576" s="23">
        <v>134.80000000000001</v>
      </c>
      <c r="F576" s="23">
        <v>133.4</v>
      </c>
      <c r="G576" s="23">
        <v>1.4</v>
      </c>
      <c r="H576" s="54">
        <v>1.4</v>
      </c>
      <c r="I576" s="262">
        <f t="shared" si="41"/>
        <v>0.98961424332344206</v>
      </c>
      <c r="J576" s="315"/>
      <c r="K576" s="324"/>
      <c r="L576" s="324"/>
      <c r="M576" s="355"/>
      <c r="N576" s="25"/>
      <c r="O576" s="25"/>
      <c r="P576" s="25"/>
      <c r="Q576" s="25"/>
      <c r="R576" s="310"/>
      <c r="S576" s="318"/>
    </row>
    <row r="577" spans="1:19" x14ac:dyDescent="0.25">
      <c r="A577" s="406"/>
      <c r="B577" s="310"/>
      <c r="C577" s="22" t="s">
        <v>32</v>
      </c>
      <c r="D577" s="23">
        <v>666</v>
      </c>
      <c r="E577" s="23">
        <v>666</v>
      </c>
      <c r="F577" s="23">
        <v>558.6</v>
      </c>
      <c r="G577" s="23">
        <v>107.4</v>
      </c>
      <c r="H577" s="54">
        <v>107.4</v>
      </c>
      <c r="I577" s="262">
        <f t="shared" si="41"/>
        <v>0.83873873873873872</v>
      </c>
      <c r="J577" s="315"/>
      <c r="K577" s="324"/>
      <c r="L577" s="324"/>
      <c r="M577" s="355"/>
      <c r="N577" s="25"/>
      <c r="O577" s="25"/>
      <c r="P577" s="25"/>
      <c r="Q577" s="25"/>
      <c r="R577" s="310"/>
      <c r="S577" s="318"/>
    </row>
    <row r="578" spans="1:19" x14ac:dyDescent="0.25">
      <c r="A578" s="406"/>
      <c r="B578" s="310"/>
      <c r="C578" s="22" t="s">
        <v>55</v>
      </c>
      <c r="D578" s="23">
        <v>232</v>
      </c>
      <c r="E578" s="23">
        <v>232</v>
      </c>
      <c r="F578" s="23">
        <v>232</v>
      </c>
      <c r="G578" s="23"/>
      <c r="H578" s="54"/>
      <c r="I578" s="262">
        <f t="shared" si="41"/>
        <v>1</v>
      </c>
      <c r="J578" s="315"/>
      <c r="K578" s="324"/>
      <c r="L578" s="324"/>
      <c r="M578" s="355"/>
      <c r="N578" s="25"/>
      <c r="O578" s="25"/>
      <c r="P578" s="25"/>
      <c r="Q578" s="25"/>
      <c r="R578" s="310"/>
      <c r="S578" s="318"/>
    </row>
    <row r="579" spans="1:19" ht="15.75" thickBot="1" x14ac:dyDescent="0.3">
      <c r="A579" s="307"/>
      <c r="B579" s="309"/>
      <c r="C579" s="22" t="s">
        <v>208</v>
      </c>
      <c r="D579" s="23">
        <v>500</v>
      </c>
      <c r="E579" s="23">
        <v>500</v>
      </c>
      <c r="F579" s="23">
        <v>500</v>
      </c>
      <c r="G579" s="23"/>
      <c r="H579" s="23"/>
      <c r="I579" s="279">
        <f t="shared" si="41"/>
        <v>1</v>
      </c>
      <c r="J579" s="316"/>
      <c r="K579" s="325"/>
      <c r="L579" s="325"/>
      <c r="M579" s="356"/>
      <c r="N579" s="25"/>
      <c r="O579" s="25"/>
      <c r="P579" s="25"/>
      <c r="Q579" s="25"/>
      <c r="R579" s="309"/>
      <c r="S579" s="319"/>
    </row>
    <row r="580" spans="1:19" ht="51.75" thickBot="1" x14ac:dyDescent="0.3">
      <c r="A580" s="16" t="s">
        <v>995</v>
      </c>
      <c r="B580" s="42" t="s">
        <v>996</v>
      </c>
      <c r="C580" s="17" t="s">
        <v>32</v>
      </c>
      <c r="D580" s="26">
        <v>700</v>
      </c>
      <c r="E580" s="26">
        <v>700</v>
      </c>
      <c r="F580" s="26">
        <v>263.39999999999998</v>
      </c>
      <c r="G580" s="26">
        <v>436.6</v>
      </c>
      <c r="H580" s="26">
        <v>436.6</v>
      </c>
      <c r="I580" s="264">
        <f t="shared" si="41"/>
        <v>0.37628571428571428</v>
      </c>
      <c r="J580" s="48" t="s">
        <v>997</v>
      </c>
      <c r="K580" s="19" t="s">
        <v>29</v>
      </c>
      <c r="L580" s="19">
        <v>100</v>
      </c>
      <c r="M580" s="112">
        <v>38</v>
      </c>
      <c r="N580" s="20"/>
      <c r="O580" s="20"/>
      <c r="P580" s="20"/>
      <c r="Q580" s="20"/>
      <c r="R580" s="48" t="s">
        <v>998</v>
      </c>
      <c r="S580" s="52" t="s">
        <v>1855</v>
      </c>
    </row>
    <row r="581" spans="1:19" ht="51.75" thickBot="1" x14ac:dyDescent="0.3">
      <c r="A581" s="16" t="s">
        <v>999</v>
      </c>
      <c r="B581" s="42" t="s">
        <v>1000</v>
      </c>
      <c r="C581" s="17" t="s">
        <v>30</v>
      </c>
      <c r="D581" s="26">
        <v>40.200000000000003</v>
      </c>
      <c r="E581" s="26">
        <v>40.200000000000003</v>
      </c>
      <c r="F581" s="26">
        <v>12.1</v>
      </c>
      <c r="G581" s="26">
        <v>28.1</v>
      </c>
      <c r="H581" s="26">
        <v>28.1</v>
      </c>
      <c r="I581" s="264">
        <f t="shared" si="41"/>
        <v>0.30099502487562185</v>
      </c>
      <c r="J581" s="48" t="s">
        <v>1001</v>
      </c>
      <c r="K581" s="19" t="s">
        <v>22</v>
      </c>
      <c r="L581" s="19">
        <v>1</v>
      </c>
      <c r="M581" s="111">
        <v>1</v>
      </c>
      <c r="N581" s="20"/>
      <c r="O581" s="20"/>
      <c r="P581" s="20"/>
      <c r="Q581" s="20"/>
      <c r="R581" s="48" t="s">
        <v>1002</v>
      </c>
      <c r="S581" s="52" t="s">
        <v>1707</v>
      </c>
    </row>
    <row r="582" spans="1:19" ht="125.25" customHeight="1" x14ac:dyDescent="0.25">
      <c r="A582" s="306" t="s">
        <v>1003</v>
      </c>
      <c r="B582" s="308" t="s">
        <v>1004</v>
      </c>
      <c r="C582" s="17"/>
      <c r="D582" s="18">
        <f>SUM(D583:D584)</f>
        <v>1231.3</v>
      </c>
      <c r="E582" s="18">
        <f>SUM(E583:E584)</f>
        <v>1231.3</v>
      </c>
      <c r="F582" s="18">
        <f>SUM(F583:F584)</f>
        <v>987.6</v>
      </c>
      <c r="G582" s="18">
        <f>SUM(G583:G584)</f>
        <v>243.70000000000002</v>
      </c>
      <c r="H582" s="18">
        <f>SUM(H583:H584)</f>
        <v>243.70000000000002</v>
      </c>
      <c r="I582" s="261">
        <f t="shared" si="41"/>
        <v>0.80207910338666455</v>
      </c>
      <c r="J582" s="314" t="s">
        <v>1005</v>
      </c>
      <c r="K582" s="323" t="s">
        <v>57</v>
      </c>
      <c r="L582" s="323">
        <v>15</v>
      </c>
      <c r="M582" s="354">
        <v>13</v>
      </c>
      <c r="N582" s="20"/>
      <c r="O582" s="20"/>
      <c r="P582" s="20"/>
      <c r="Q582" s="20"/>
      <c r="R582" s="308" t="s">
        <v>1006</v>
      </c>
      <c r="S582" s="326" t="s">
        <v>1856</v>
      </c>
    </row>
    <row r="583" spans="1:19" x14ac:dyDescent="0.25">
      <c r="A583" s="406"/>
      <c r="B583" s="310"/>
      <c r="C583" s="22" t="s">
        <v>208</v>
      </c>
      <c r="D583" s="23">
        <v>1000</v>
      </c>
      <c r="E583" s="23">
        <v>1000</v>
      </c>
      <c r="F583" s="23">
        <v>970.6</v>
      </c>
      <c r="G583" s="23">
        <v>29.4</v>
      </c>
      <c r="H583" s="54">
        <v>29.4</v>
      </c>
      <c r="I583" s="262">
        <f t="shared" si="41"/>
        <v>0.97060000000000002</v>
      </c>
      <c r="J583" s="315"/>
      <c r="K583" s="324"/>
      <c r="L583" s="324"/>
      <c r="M583" s="355"/>
      <c r="N583" s="25"/>
      <c r="O583" s="25"/>
      <c r="P583" s="25"/>
      <c r="Q583" s="25"/>
      <c r="R583" s="310"/>
      <c r="S583" s="332"/>
    </row>
    <row r="584" spans="1:19" ht="29.25" customHeight="1" thickBot="1" x14ac:dyDescent="0.3">
      <c r="A584" s="307"/>
      <c r="B584" s="309"/>
      <c r="C584" s="22" t="s">
        <v>32</v>
      </c>
      <c r="D584" s="23">
        <v>231.3</v>
      </c>
      <c r="E584" s="23">
        <v>231.3</v>
      </c>
      <c r="F584" s="23">
        <v>17</v>
      </c>
      <c r="G584" s="23">
        <v>214.3</v>
      </c>
      <c r="H584" s="23">
        <v>214.3</v>
      </c>
      <c r="I584" s="279">
        <f t="shared" si="41"/>
        <v>7.3497622135754434E-2</v>
      </c>
      <c r="J584" s="316"/>
      <c r="K584" s="325"/>
      <c r="L584" s="325"/>
      <c r="M584" s="356"/>
      <c r="N584" s="25"/>
      <c r="O584" s="25"/>
      <c r="P584" s="25"/>
      <c r="Q584" s="25"/>
      <c r="R584" s="309"/>
      <c r="S584" s="327"/>
    </row>
    <row r="585" spans="1:19" ht="89.25" x14ac:dyDescent="0.25">
      <c r="A585" s="306" t="s">
        <v>1007</v>
      </c>
      <c r="B585" s="308" t="s">
        <v>1008</v>
      </c>
      <c r="C585" s="17"/>
      <c r="D585" s="18">
        <f>SUM(D586:D587)</f>
        <v>258.2</v>
      </c>
      <c r="E585" s="18">
        <f>SUM(E586:E587)</f>
        <v>258.2</v>
      </c>
      <c r="F585" s="18">
        <f>SUM(F586:F587)</f>
        <v>205.2</v>
      </c>
      <c r="G585" s="18">
        <f>SUM(G586:G587)</f>
        <v>53</v>
      </c>
      <c r="H585" s="18">
        <f>SUM(H586:H587)</f>
        <v>53</v>
      </c>
      <c r="I585" s="261">
        <f t="shared" si="41"/>
        <v>0.79473276529821846</v>
      </c>
      <c r="J585" s="48" t="s">
        <v>1009</v>
      </c>
      <c r="K585" s="19" t="s">
        <v>57</v>
      </c>
      <c r="L585" s="19">
        <v>3</v>
      </c>
      <c r="M585" s="108">
        <v>7</v>
      </c>
      <c r="N585" s="20"/>
      <c r="O585" s="20"/>
      <c r="P585" s="20"/>
      <c r="Q585" s="20"/>
      <c r="R585" s="48" t="s">
        <v>1861</v>
      </c>
      <c r="S585" s="120"/>
    </row>
    <row r="586" spans="1:19" ht="53.25" customHeight="1" x14ac:dyDescent="0.25">
      <c r="A586" s="406"/>
      <c r="B586" s="310"/>
      <c r="C586" s="22" t="s">
        <v>32</v>
      </c>
      <c r="D586" s="23">
        <v>230</v>
      </c>
      <c r="E586" s="23">
        <v>230</v>
      </c>
      <c r="F586" s="23">
        <v>177</v>
      </c>
      <c r="G586" s="23">
        <v>53</v>
      </c>
      <c r="H586" s="54">
        <v>53</v>
      </c>
      <c r="I586" s="262">
        <f t="shared" si="41"/>
        <v>0.76956521739130435</v>
      </c>
      <c r="J586" s="333" t="s">
        <v>1010</v>
      </c>
      <c r="K586" s="334" t="s">
        <v>57</v>
      </c>
      <c r="L586" s="334">
        <v>2</v>
      </c>
      <c r="M586" s="353">
        <v>2</v>
      </c>
      <c r="N586" s="25"/>
      <c r="O586" s="25"/>
      <c r="P586" s="25"/>
      <c r="Q586" s="25"/>
      <c r="R586" s="338" t="s">
        <v>1011</v>
      </c>
      <c r="S586" s="363"/>
    </row>
    <row r="587" spans="1:19" ht="15.75" thickBot="1" x14ac:dyDescent="0.3">
      <c r="A587" s="307"/>
      <c r="B587" s="309"/>
      <c r="C587" s="22" t="s">
        <v>30</v>
      </c>
      <c r="D587" s="23">
        <v>28.2</v>
      </c>
      <c r="E587" s="23">
        <v>28.2</v>
      </c>
      <c r="F587" s="23">
        <v>28.2</v>
      </c>
      <c r="G587" s="23"/>
      <c r="H587" s="23"/>
      <c r="I587" s="279">
        <f t="shared" si="41"/>
        <v>1</v>
      </c>
      <c r="J587" s="316"/>
      <c r="K587" s="325"/>
      <c r="L587" s="325"/>
      <c r="M587" s="349"/>
      <c r="N587" s="25"/>
      <c r="O587" s="25"/>
      <c r="P587" s="25"/>
      <c r="Q587" s="25"/>
      <c r="R587" s="309"/>
      <c r="S587" s="319"/>
    </row>
    <row r="588" spans="1:19" ht="63.75" x14ac:dyDescent="0.25">
      <c r="A588" s="306" t="s">
        <v>1012</v>
      </c>
      <c r="B588" s="308" t="s">
        <v>1013</v>
      </c>
      <c r="C588" s="17"/>
      <c r="D588" s="18">
        <f>SUM(D589:D594)</f>
        <v>3235</v>
      </c>
      <c r="E588" s="18">
        <f>SUM(E589:E594)</f>
        <v>3235</v>
      </c>
      <c r="F588" s="18">
        <f>SUM(F589:F594)</f>
        <v>2885.1</v>
      </c>
      <c r="G588" s="18">
        <f>SUM(G589:G594)</f>
        <v>349.9</v>
      </c>
      <c r="H588" s="18">
        <f>SUM(H589:H594)</f>
        <v>349.9</v>
      </c>
      <c r="I588" s="261">
        <f t="shared" si="41"/>
        <v>0.89183925811437403</v>
      </c>
      <c r="J588" s="48" t="s">
        <v>1014</v>
      </c>
      <c r="K588" s="19" t="s">
        <v>57</v>
      </c>
      <c r="L588" s="19">
        <v>2</v>
      </c>
      <c r="M588" s="108">
        <v>4</v>
      </c>
      <c r="N588" s="20"/>
      <c r="O588" s="20"/>
      <c r="P588" s="20"/>
      <c r="Q588" s="20"/>
      <c r="R588" s="48" t="s">
        <v>1015</v>
      </c>
      <c r="S588" s="120"/>
    </row>
    <row r="589" spans="1:19" ht="76.5" x14ac:dyDescent="0.25">
      <c r="A589" s="406"/>
      <c r="B589" s="310"/>
      <c r="C589" s="22" t="s">
        <v>208</v>
      </c>
      <c r="D589" s="23">
        <v>750</v>
      </c>
      <c r="E589" s="23">
        <v>750</v>
      </c>
      <c r="F589" s="23">
        <v>750</v>
      </c>
      <c r="G589" s="23"/>
      <c r="H589" s="54"/>
      <c r="I589" s="262">
        <f t="shared" si="41"/>
        <v>1</v>
      </c>
      <c r="J589" s="55" t="s">
        <v>1016</v>
      </c>
      <c r="K589" s="24" t="s">
        <v>57</v>
      </c>
      <c r="L589" s="24">
        <v>1</v>
      </c>
      <c r="M589" s="215">
        <v>0</v>
      </c>
      <c r="N589" s="149"/>
      <c r="O589" s="149"/>
      <c r="P589" s="149"/>
      <c r="Q589" s="149"/>
      <c r="R589" s="85" t="s">
        <v>1756</v>
      </c>
      <c r="S589" s="53" t="s">
        <v>1857</v>
      </c>
    </row>
    <row r="590" spans="1:19" ht="25.5" x14ac:dyDescent="0.25">
      <c r="A590" s="406"/>
      <c r="B590" s="310"/>
      <c r="C590" s="22" t="s">
        <v>30</v>
      </c>
      <c r="D590" s="23">
        <v>2485</v>
      </c>
      <c r="E590" s="23">
        <v>2485</v>
      </c>
      <c r="F590" s="23">
        <v>2135.1</v>
      </c>
      <c r="G590" s="23">
        <v>349.9</v>
      </c>
      <c r="H590" s="23">
        <v>349.9</v>
      </c>
      <c r="I590" s="279">
        <f t="shared" si="41"/>
        <v>0.85919517102615695</v>
      </c>
      <c r="J590" s="49" t="s">
        <v>1017</v>
      </c>
      <c r="K590" s="24" t="s">
        <v>57</v>
      </c>
      <c r="L590" s="24">
        <v>1</v>
      </c>
      <c r="M590" s="104">
        <v>1</v>
      </c>
      <c r="N590" s="25"/>
      <c r="O590" s="25"/>
      <c r="P590" s="25"/>
      <c r="Q590" s="25"/>
      <c r="R590" s="49" t="s">
        <v>1018</v>
      </c>
      <c r="S590" s="53"/>
    </row>
    <row r="591" spans="1:19" ht="183.75" customHeight="1" x14ac:dyDescent="0.25">
      <c r="A591" s="406"/>
      <c r="B591" s="310"/>
      <c r="C591" s="22"/>
      <c r="D591" s="23"/>
      <c r="E591" s="23"/>
      <c r="F591" s="23"/>
      <c r="G591" s="23"/>
      <c r="H591" s="23"/>
      <c r="I591" s="269"/>
      <c r="J591" s="49" t="s">
        <v>1019</v>
      </c>
      <c r="K591" s="24" t="s">
        <v>57</v>
      </c>
      <c r="L591" s="24">
        <v>11</v>
      </c>
      <c r="M591" s="203">
        <v>11</v>
      </c>
      <c r="N591" s="25"/>
      <c r="O591" s="25"/>
      <c r="P591" s="25"/>
      <c r="Q591" s="25"/>
      <c r="R591" s="49" t="s">
        <v>1862</v>
      </c>
      <c r="S591" s="53"/>
    </row>
    <row r="592" spans="1:19" ht="106.5" customHeight="1" x14ac:dyDescent="0.25">
      <c r="A592" s="406"/>
      <c r="B592" s="310"/>
      <c r="C592" s="22"/>
      <c r="D592" s="23"/>
      <c r="E592" s="23"/>
      <c r="F592" s="23"/>
      <c r="G592" s="23"/>
      <c r="H592" s="23"/>
      <c r="I592" s="269"/>
      <c r="J592" s="49" t="s">
        <v>1020</v>
      </c>
      <c r="K592" s="24" t="s">
        <v>57</v>
      </c>
      <c r="L592" s="24">
        <v>6</v>
      </c>
      <c r="M592" s="109">
        <v>5</v>
      </c>
      <c r="N592" s="25"/>
      <c r="O592" s="25"/>
      <c r="P592" s="25"/>
      <c r="Q592" s="25"/>
      <c r="R592" s="49" t="s">
        <v>1748</v>
      </c>
      <c r="S592" s="53" t="s">
        <v>1647</v>
      </c>
    </row>
    <row r="593" spans="1:19" ht="106.5" customHeight="1" x14ac:dyDescent="0.25">
      <c r="A593" s="406"/>
      <c r="B593" s="310"/>
      <c r="C593" s="22"/>
      <c r="D593" s="23"/>
      <c r="E593" s="23"/>
      <c r="F593" s="23"/>
      <c r="G593" s="23"/>
      <c r="H593" s="23"/>
      <c r="I593" s="269"/>
      <c r="J593" s="49" t="s">
        <v>1021</v>
      </c>
      <c r="K593" s="24" t="s">
        <v>57</v>
      </c>
      <c r="L593" s="24">
        <v>4</v>
      </c>
      <c r="M593" s="109">
        <v>3</v>
      </c>
      <c r="N593" s="25"/>
      <c r="O593" s="25"/>
      <c r="P593" s="25"/>
      <c r="Q593" s="25"/>
      <c r="R593" s="49" t="s">
        <v>1022</v>
      </c>
      <c r="S593" s="53" t="s">
        <v>1648</v>
      </c>
    </row>
    <row r="594" spans="1:19" ht="107.25" customHeight="1" thickBot="1" x14ac:dyDescent="0.3">
      <c r="A594" s="307"/>
      <c r="B594" s="309"/>
      <c r="C594" s="22"/>
      <c r="D594" s="23"/>
      <c r="E594" s="23"/>
      <c r="F594" s="23"/>
      <c r="G594" s="23"/>
      <c r="H594" s="23"/>
      <c r="I594" s="269"/>
      <c r="J594" s="49" t="s">
        <v>1023</v>
      </c>
      <c r="K594" s="24" t="s">
        <v>22</v>
      </c>
      <c r="L594" s="24">
        <v>4</v>
      </c>
      <c r="M594" s="220">
        <v>2</v>
      </c>
      <c r="N594" s="25"/>
      <c r="O594" s="25"/>
      <c r="P594" s="25"/>
      <c r="Q594" s="25"/>
      <c r="R594" s="49" t="s">
        <v>1863</v>
      </c>
      <c r="S594" s="53" t="s">
        <v>1747</v>
      </c>
    </row>
    <row r="595" spans="1:19" ht="38.25" customHeight="1" x14ac:dyDescent="0.25">
      <c r="A595" s="306" t="s">
        <v>1024</v>
      </c>
      <c r="B595" s="308" t="s">
        <v>1025</v>
      </c>
      <c r="C595" s="17"/>
      <c r="D595" s="18">
        <f>SUM(D596:D597)</f>
        <v>1582.5</v>
      </c>
      <c r="E595" s="18">
        <f>SUM(E596:E597)</f>
        <v>1582.5</v>
      </c>
      <c r="F595" s="18">
        <f>SUM(F596:F597)</f>
        <v>1545.6</v>
      </c>
      <c r="G595" s="18">
        <f>SUM(G596:G597)</f>
        <v>36.9</v>
      </c>
      <c r="H595" s="18">
        <f>SUM(H596:H597)</f>
        <v>36.9</v>
      </c>
      <c r="I595" s="261">
        <f t="shared" ref="I595:I604" si="42">SUM(F595/E595)</f>
        <v>0.9766824644549762</v>
      </c>
      <c r="J595" s="314" t="s">
        <v>1026</v>
      </c>
      <c r="K595" s="323" t="s">
        <v>29</v>
      </c>
      <c r="L595" s="323">
        <v>100</v>
      </c>
      <c r="M595" s="354">
        <v>98</v>
      </c>
      <c r="N595" s="20"/>
      <c r="O595" s="20"/>
      <c r="P595" s="20"/>
      <c r="Q595" s="20"/>
      <c r="R595" s="308" t="s">
        <v>1858</v>
      </c>
      <c r="S595" s="317"/>
    </row>
    <row r="596" spans="1:19" x14ac:dyDescent="0.25">
      <c r="A596" s="406"/>
      <c r="B596" s="310"/>
      <c r="C596" s="22" t="s">
        <v>30</v>
      </c>
      <c r="D596" s="23">
        <v>665.1</v>
      </c>
      <c r="E596" s="23">
        <v>665.1</v>
      </c>
      <c r="F596" s="23">
        <v>665.1</v>
      </c>
      <c r="G596" s="23"/>
      <c r="H596" s="54"/>
      <c r="I596" s="262">
        <f t="shared" si="42"/>
        <v>1</v>
      </c>
      <c r="J596" s="315"/>
      <c r="K596" s="324"/>
      <c r="L596" s="324"/>
      <c r="M596" s="355"/>
      <c r="N596" s="25"/>
      <c r="O596" s="25"/>
      <c r="P596" s="25"/>
      <c r="Q596" s="25"/>
      <c r="R596" s="310"/>
      <c r="S596" s="318"/>
    </row>
    <row r="597" spans="1:19" ht="15.75" thickBot="1" x14ac:dyDescent="0.3">
      <c r="A597" s="307"/>
      <c r="B597" s="309"/>
      <c r="C597" s="22" t="s">
        <v>32</v>
      </c>
      <c r="D597" s="23">
        <v>917.4</v>
      </c>
      <c r="E597" s="23">
        <v>917.4</v>
      </c>
      <c r="F597" s="23">
        <v>880.5</v>
      </c>
      <c r="G597" s="23">
        <v>36.9</v>
      </c>
      <c r="H597" s="23">
        <v>36.9</v>
      </c>
      <c r="I597" s="279">
        <f t="shared" si="42"/>
        <v>0.95977763243950298</v>
      </c>
      <c r="J597" s="316"/>
      <c r="K597" s="325"/>
      <c r="L597" s="325"/>
      <c r="M597" s="356"/>
      <c r="N597" s="25"/>
      <c r="O597" s="25"/>
      <c r="P597" s="25"/>
      <c r="Q597" s="25"/>
      <c r="R597" s="309"/>
      <c r="S597" s="319"/>
    </row>
    <row r="598" spans="1:19" ht="37.5" customHeight="1" x14ac:dyDescent="0.25">
      <c r="A598" s="306" t="s">
        <v>1027</v>
      </c>
      <c r="B598" s="308" t="s">
        <v>1028</v>
      </c>
      <c r="C598" s="17"/>
      <c r="D598" s="18">
        <f>SUM(D599:D600)</f>
        <v>15.6</v>
      </c>
      <c r="E598" s="18">
        <f>SUM(E599:E600)</f>
        <v>15.6</v>
      </c>
      <c r="F598" s="18">
        <f>SUM(F599:F600)</f>
        <v>12.6</v>
      </c>
      <c r="G598" s="18">
        <f>SUM(G599:G600)</f>
        <v>3</v>
      </c>
      <c r="H598" s="18">
        <f>SUM(H599:H600)</f>
        <v>3</v>
      </c>
      <c r="I598" s="261">
        <f t="shared" si="42"/>
        <v>0.80769230769230771</v>
      </c>
      <c r="J598" s="314" t="s">
        <v>277</v>
      </c>
      <c r="K598" s="323" t="s">
        <v>22</v>
      </c>
      <c r="L598" s="323">
        <v>1</v>
      </c>
      <c r="M598" s="347">
        <v>1</v>
      </c>
      <c r="N598" s="20"/>
      <c r="O598" s="20"/>
      <c r="P598" s="20"/>
      <c r="Q598" s="20"/>
      <c r="R598" s="320"/>
      <c r="S598" s="317"/>
    </row>
    <row r="599" spans="1:19" x14ac:dyDescent="0.25">
      <c r="A599" s="406"/>
      <c r="B599" s="310"/>
      <c r="C599" s="22" t="s">
        <v>55</v>
      </c>
      <c r="D599" s="23">
        <v>1.2</v>
      </c>
      <c r="E599" s="23">
        <v>1.2</v>
      </c>
      <c r="F599" s="23">
        <v>1</v>
      </c>
      <c r="G599" s="23">
        <v>0.2</v>
      </c>
      <c r="H599" s="54">
        <v>0.2</v>
      </c>
      <c r="I599" s="262">
        <f t="shared" si="42"/>
        <v>0.83333333333333337</v>
      </c>
      <c r="J599" s="315"/>
      <c r="K599" s="324"/>
      <c r="L599" s="324"/>
      <c r="M599" s="348"/>
      <c r="N599" s="25"/>
      <c r="O599" s="25"/>
      <c r="P599" s="25"/>
      <c r="Q599" s="25"/>
      <c r="R599" s="321"/>
      <c r="S599" s="318"/>
    </row>
    <row r="600" spans="1:19" ht="15.75" thickBot="1" x14ac:dyDescent="0.3">
      <c r="A600" s="307"/>
      <c r="B600" s="309"/>
      <c r="C600" s="22" t="s">
        <v>481</v>
      </c>
      <c r="D600" s="23">
        <v>14.4</v>
      </c>
      <c r="E600" s="23">
        <v>14.4</v>
      </c>
      <c r="F600" s="23">
        <v>11.6</v>
      </c>
      <c r="G600" s="23">
        <v>2.8</v>
      </c>
      <c r="H600" s="23">
        <v>2.8</v>
      </c>
      <c r="I600" s="279">
        <f t="shared" si="42"/>
        <v>0.80555555555555547</v>
      </c>
      <c r="J600" s="316"/>
      <c r="K600" s="325"/>
      <c r="L600" s="325"/>
      <c r="M600" s="349"/>
      <c r="N600" s="25"/>
      <c r="O600" s="25"/>
      <c r="P600" s="25"/>
      <c r="Q600" s="25"/>
      <c r="R600" s="322"/>
      <c r="S600" s="319"/>
    </row>
    <row r="601" spans="1:19" ht="27" customHeight="1" x14ac:dyDescent="0.25">
      <c r="A601" s="306" t="s">
        <v>1029</v>
      </c>
      <c r="B601" s="308" t="s">
        <v>1030</v>
      </c>
      <c r="C601" s="17"/>
      <c r="D601" s="18">
        <f>SUM(D602:D603)</f>
        <v>25.4</v>
      </c>
      <c r="E601" s="18">
        <f>SUM(E602:E603)</f>
        <v>25.4</v>
      </c>
      <c r="F601" s="18">
        <f>SUM(F602:F603)+0.1</f>
        <v>25.200000000000003</v>
      </c>
      <c r="G601" s="18">
        <f>SUM(G602:G603)-0.1</f>
        <v>0.20000000000000004</v>
      </c>
      <c r="H601" s="18">
        <f>SUM(H602:H603)-0.1</f>
        <v>0.20000000000000004</v>
      </c>
      <c r="I601" s="261">
        <f t="shared" si="42"/>
        <v>0.99212598425196863</v>
      </c>
      <c r="J601" s="314" t="s">
        <v>277</v>
      </c>
      <c r="K601" s="323" t="s">
        <v>22</v>
      </c>
      <c r="L601" s="323">
        <v>1</v>
      </c>
      <c r="M601" s="347">
        <v>1</v>
      </c>
      <c r="N601" s="20"/>
      <c r="O601" s="20"/>
      <c r="P601" s="20"/>
      <c r="Q601" s="20"/>
      <c r="R601" s="320"/>
      <c r="S601" s="317"/>
    </row>
    <row r="602" spans="1:19" x14ac:dyDescent="0.25">
      <c r="A602" s="406"/>
      <c r="B602" s="310"/>
      <c r="C602" s="22" t="s">
        <v>55</v>
      </c>
      <c r="D602" s="23">
        <v>2.2000000000000002</v>
      </c>
      <c r="E602" s="23">
        <v>2.2000000000000002</v>
      </c>
      <c r="F602" s="23">
        <v>2</v>
      </c>
      <c r="G602" s="23">
        <v>0.2</v>
      </c>
      <c r="H602" s="54">
        <v>0.2</v>
      </c>
      <c r="I602" s="262">
        <f t="shared" si="42"/>
        <v>0.90909090909090906</v>
      </c>
      <c r="J602" s="315"/>
      <c r="K602" s="324"/>
      <c r="L602" s="324"/>
      <c r="M602" s="348"/>
      <c r="N602" s="25"/>
      <c r="O602" s="25"/>
      <c r="P602" s="25"/>
      <c r="Q602" s="25"/>
      <c r="R602" s="321"/>
      <c r="S602" s="318"/>
    </row>
    <row r="603" spans="1:19" ht="15.75" thickBot="1" x14ac:dyDescent="0.3">
      <c r="A603" s="307"/>
      <c r="B603" s="309"/>
      <c r="C603" s="22" t="s">
        <v>481</v>
      </c>
      <c r="D603" s="23">
        <v>23.2</v>
      </c>
      <c r="E603" s="23">
        <v>23.2</v>
      </c>
      <c r="F603" s="23">
        <v>23.1</v>
      </c>
      <c r="G603" s="23">
        <v>0.1</v>
      </c>
      <c r="H603" s="23">
        <v>0.1</v>
      </c>
      <c r="I603" s="279">
        <f t="shared" si="42"/>
        <v>0.99568965517241392</v>
      </c>
      <c r="J603" s="316"/>
      <c r="K603" s="325"/>
      <c r="L603" s="325"/>
      <c r="M603" s="349"/>
      <c r="N603" s="25"/>
      <c r="O603" s="25"/>
      <c r="P603" s="25"/>
      <c r="Q603" s="25"/>
      <c r="R603" s="322"/>
      <c r="S603" s="319"/>
    </row>
    <row r="604" spans="1:19" ht="51" x14ac:dyDescent="0.25">
      <c r="A604" s="306" t="s">
        <v>1031</v>
      </c>
      <c r="B604" s="308" t="s">
        <v>1032</v>
      </c>
      <c r="C604" s="17"/>
      <c r="D604" s="18">
        <f>D605+D606+D608</f>
        <v>985</v>
      </c>
      <c r="E604" s="18">
        <f>E605+E606+E608</f>
        <v>985</v>
      </c>
      <c r="F604" s="18">
        <f>F605+F606+F608</f>
        <v>631.20000000000005</v>
      </c>
      <c r="G604" s="18">
        <f>G605+G606+G608</f>
        <v>353.79999999999995</v>
      </c>
      <c r="H604" s="18">
        <f>H605+H606+H608</f>
        <v>353.79999999999995</v>
      </c>
      <c r="I604" s="264">
        <f t="shared" si="42"/>
        <v>0.64081218274111684</v>
      </c>
      <c r="J604" s="48" t="s">
        <v>1033</v>
      </c>
      <c r="K604" s="19" t="s">
        <v>57</v>
      </c>
      <c r="L604" s="19">
        <v>4</v>
      </c>
      <c r="M604" s="144">
        <v>3</v>
      </c>
      <c r="N604" s="20"/>
      <c r="O604" s="20"/>
      <c r="P604" s="20"/>
      <c r="Q604" s="20"/>
      <c r="R604" s="116"/>
      <c r="S604" s="117"/>
    </row>
    <row r="605" spans="1:19" ht="51.75" thickBot="1" x14ac:dyDescent="0.3">
      <c r="A605" s="307"/>
      <c r="B605" s="309"/>
      <c r="C605" s="22"/>
      <c r="D605" s="23"/>
      <c r="E605" s="23"/>
      <c r="F605" s="23"/>
      <c r="G605" s="23"/>
      <c r="H605" s="23"/>
      <c r="I605" s="269"/>
      <c r="J605" s="49" t="s">
        <v>1034</v>
      </c>
      <c r="K605" s="24" t="s">
        <v>57</v>
      </c>
      <c r="L605" s="24">
        <v>24</v>
      </c>
      <c r="M605" s="104">
        <v>24</v>
      </c>
      <c r="N605" s="25"/>
      <c r="O605" s="25"/>
      <c r="P605" s="25"/>
      <c r="Q605" s="25"/>
      <c r="R605" s="118"/>
      <c r="S605" s="119"/>
    </row>
    <row r="606" spans="1:19" ht="102" x14ac:dyDescent="0.25">
      <c r="A606" s="306" t="s">
        <v>1035</v>
      </c>
      <c r="B606" s="308" t="s">
        <v>1036</v>
      </c>
      <c r="C606" s="17"/>
      <c r="D606" s="18">
        <f>SUM(D607:D607)</f>
        <v>985</v>
      </c>
      <c r="E606" s="18">
        <f>SUM(E607:E607)</f>
        <v>985</v>
      </c>
      <c r="F606" s="18">
        <f>SUM(F607:F607)</f>
        <v>630.1</v>
      </c>
      <c r="G606" s="18">
        <f>SUM(G607:G607)</f>
        <v>354.9</v>
      </c>
      <c r="H606" s="18">
        <f>SUM(H607:H607)</f>
        <v>354.9</v>
      </c>
      <c r="I606" s="264">
        <f t="shared" ref="I606:I638" si="43">SUM(F606/E606)</f>
        <v>0.63969543147208119</v>
      </c>
      <c r="J606" s="48" t="s">
        <v>1037</v>
      </c>
      <c r="K606" s="19" t="s">
        <v>57</v>
      </c>
      <c r="L606" s="19">
        <v>4</v>
      </c>
      <c r="M606" s="144">
        <v>3</v>
      </c>
      <c r="N606" s="20"/>
      <c r="O606" s="20"/>
      <c r="P606" s="20"/>
      <c r="Q606" s="20"/>
      <c r="R606" s="48" t="s">
        <v>1859</v>
      </c>
      <c r="S606" s="52" t="s">
        <v>1860</v>
      </c>
    </row>
    <row r="607" spans="1:19" ht="51.75" thickBot="1" x14ac:dyDescent="0.3">
      <c r="A607" s="307"/>
      <c r="B607" s="309"/>
      <c r="C607" s="22" t="s">
        <v>30</v>
      </c>
      <c r="D607" s="23">
        <v>985</v>
      </c>
      <c r="E607" s="23">
        <v>985</v>
      </c>
      <c r="F607" s="23">
        <v>630.1</v>
      </c>
      <c r="G607" s="23">
        <v>354.9</v>
      </c>
      <c r="H607" s="23">
        <v>354.9</v>
      </c>
      <c r="I607" s="279">
        <f t="shared" si="43"/>
        <v>0.63969543147208119</v>
      </c>
      <c r="J607" s="49" t="s">
        <v>1034</v>
      </c>
      <c r="K607" s="24" t="s">
        <v>57</v>
      </c>
      <c r="L607" s="24">
        <v>24</v>
      </c>
      <c r="M607" s="104">
        <v>24</v>
      </c>
      <c r="N607" s="25"/>
      <c r="O607" s="25"/>
      <c r="P607" s="25"/>
      <c r="Q607" s="25"/>
      <c r="R607" s="145"/>
      <c r="S607" s="143"/>
    </row>
    <row r="608" spans="1:19" ht="51.75" thickBot="1" x14ac:dyDescent="0.3">
      <c r="A608" s="121" t="s">
        <v>1038</v>
      </c>
      <c r="B608" s="122" t="s">
        <v>1039</v>
      </c>
      <c r="C608" s="123" t="s">
        <v>55</v>
      </c>
      <c r="D608" s="124"/>
      <c r="E608" s="124">
        <v>0</v>
      </c>
      <c r="F608" s="124">
        <v>1.1000000000000001</v>
      </c>
      <c r="G608" s="124">
        <v>-1.1000000000000001</v>
      </c>
      <c r="H608" s="124">
        <v>-1.1000000000000001</v>
      </c>
      <c r="I608" s="264"/>
      <c r="J608" s="48"/>
      <c r="K608" s="19"/>
      <c r="L608" s="19"/>
      <c r="M608" s="19"/>
      <c r="N608" s="20"/>
      <c r="O608" s="20"/>
      <c r="P608" s="20"/>
      <c r="Q608" s="20"/>
      <c r="R608" s="48"/>
      <c r="S608" s="52"/>
    </row>
    <row r="609" spans="1:19" ht="28.5" customHeight="1" x14ac:dyDescent="0.25">
      <c r="A609" s="306" t="s">
        <v>1040</v>
      </c>
      <c r="B609" s="308" t="s">
        <v>1041</v>
      </c>
      <c r="C609" s="17"/>
      <c r="D609" s="18">
        <f>SUM(D610:D612)</f>
        <v>3178.1000000000004</v>
      </c>
      <c r="E609" s="18">
        <f>SUM(E610:E612)</f>
        <v>3178.1000000000004</v>
      </c>
      <c r="F609" s="18">
        <f>SUM(F610:F612)</f>
        <v>2779.6000000000004</v>
      </c>
      <c r="G609" s="18">
        <f>SUM(G610:G612)</f>
        <v>398.5</v>
      </c>
      <c r="H609" s="18">
        <f>SUM(H610:H612)</f>
        <v>398.5</v>
      </c>
      <c r="I609" s="261">
        <f t="shared" si="43"/>
        <v>0.87461061640602877</v>
      </c>
      <c r="J609" s="314" t="s">
        <v>1042</v>
      </c>
      <c r="K609" s="323" t="s">
        <v>22</v>
      </c>
      <c r="L609" s="323">
        <v>2</v>
      </c>
      <c r="M609" s="347">
        <v>2</v>
      </c>
      <c r="N609" s="20"/>
      <c r="O609" s="20"/>
      <c r="P609" s="20"/>
      <c r="Q609" s="20"/>
      <c r="R609" s="308" t="s">
        <v>1864</v>
      </c>
      <c r="S609" s="326" t="s">
        <v>1865</v>
      </c>
    </row>
    <row r="610" spans="1:19" x14ac:dyDescent="0.25">
      <c r="A610" s="406"/>
      <c r="B610" s="310"/>
      <c r="C610" s="22" t="s">
        <v>32</v>
      </c>
      <c r="D610" s="23">
        <v>532.9</v>
      </c>
      <c r="E610" s="23">
        <v>532.9</v>
      </c>
      <c r="F610" s="23">
        <v>134.4</v>
      </c>
      <c r="G610" s="23">
        <v>398.5</v>
      </c>
      <c r="H610" s="54">
        <v>398.5</v>
      </c>
      <c r="I610" s="262">
        <f t="shared" si="43"/>
        <v>0.25220491649465193</v>
      </c>
      <c r="J610" s="315"/>
      <c r="K610" s="324"/>
      <c r="L610" s="324"/>
      <c r="M610" s="348"/>
      <c r="N610" s="25"/>
      <c r="O610" s="25"/>
      <c r="P610" s="25"/>
      <c r="Q610" s="25"/>
      <c r="R610" s="310"/>
      <c r="S610" s="318"/>
    </row>
    <row r="611" spans="1:19" x14ac:dyDescent="0.25">
      <c r="A611" s="406"/>
      <c r="B611" s="310"/>
      <c r="C611" s="22" t="s">
        <v>208</v>
      </c>
      <c r="D611" s="23">
        <v>1850</v>
      </c>
      <c r="E611" s="23">
        <v>1850</v>
      </c>
      <c r="F611" s="23">
        <v>1850</v>
      </c>
      <c r="G611" s="23"/>
      <c r="H611" s="54"/>
      <c r="I611" s="262">
        <f t="shared" si="43"/>
        <v>1</v>
      </c>
      <c r="J611" s="315"/>
      <c r="K611" s="324"/>
      <c r="L611" s="324"/>
      <c r="M611" s="348"/>
      <c r="N611" s="25"/>
      <c r="O611" s="25"/>
      <c r="P611" s="25"/>
      <c r="Q611" s="25"/>
      <c r="R611" s="310"/>
      <c r="S611" s="318"/>
    </row>
    <row r="612" spans="1:19" ht="15.75" thickBot="1" x14ac:dyDescent="0.3">
      <c r="A612" s="307"/>
      <c r="B612" s="309"/>
      <c r="C612" s="22" t="s">
        <v>30</v>
      </c>
      <c r="D612" s="23">
        <v>795.2</v>
      </c>
      <c r="E612" s="23">
        <v>795.2</v>
      </c>
      <c r="F612" s="23">
        <v>795.2</v>
      </c>
      <c r="G612" s="23"/>
      <c r="H612" s="23"/>
      <c r="I612" s="279">
        <f t="shared" si="43"/>
        <v>1</v>
      </c>
      <c r="J612" s="316"/>
      <c r="K612" s="325"/>
      <c r="L612" s="325"/>
      <c r="M612" s="349"/>
      <c r="N612" s="25"/>
      <c r="O612" s="25"/>
      <c r="P612" s="25"/>
      <c r="Q612" s="25"/>
      <c r="R612" s="309"/>
      <c r="S612" s="319"/>
    </row>
    <row r="613" spans="1:19" ht="64.5" thickBot="1" x14ac:dyDescent="0.3">
      <c r="A613" s="16" t="s">
        <v>1043</v>
      </c>
      <c r="B613" s="42" t="s">
        <v>1044</v>
      </c>
      <c r="C613" s="17" t="s">
        <v>32</v>
      </c>
      <c r="D613" s="26">
        <v>100</v>
      </c>
      <c r="E613" s="26">
        <v>100</v>
      </c>
      <c r="F613" s="26">
        <v>100</v>
      </c>
      <c r="G613" s="26"/>
      <c r="H613" s="26"/>
      <c r="I613" s="264">
        <f t="shared" si="43"/>
        <v>1</v>
      </c>
      <c r="J613" s="48" t="s">
        <v>1045</v>
      </c>
      <c r="K613" s="19" t="s">
        <v>29</v>
      </c>
      <c r="L613" s="19">
        <v>100</v>
      </c>
      <c r="M613" s="111">
        <v>100</v>
      </c>
      <c r="N613" s="20"/>
      <c r="O613" s="20"/>
      <c r="P613" s="20"/>
      <c r="Q613" s="20"/>
      <c r="R613" s="48" t="s">
        <v>1866</v>
      </c>
      <c r="S613" s="120"/>
    </row>
    <row r="614" spans="1:19" ht="167.25" customHeight="1" x14ac:dyDescent="0.25">
      <c r="A614" s="306" t="s">
        <v>1046</v>
      </c>
      <c r="B614" s="308" t="s">
        <v>1047</v>
      </c>
      <c r="C614" s="17"/>
      <c r="D614" s="18">
        <f>SUM(D615:D616)</f>
        <v>2427.3000000000002</v>
      </c>
      <c r="E614" s="18">
        <f>SUM(E615:E616)</f>
        <v>2427.3000000000002</v>
      </c>
      <c r="F614" s="18">
        <f>SUM(F615:F616)</f>
        <v>2256.2999999999997</v>
      </c>
      <c r="G614" s="18">
        <f>SUM(G615:G616)</f>
        <v>171</v>
      </c>
      <c r="H614" s="18">
        <f>SUM(H615:H616)</f>
        <v>171</v>
      </c>
      <c r="I614" s="261">
        <f t="shared" si="43"/>
        <v>0.92955135335558015</v>
      </c>
      <c r="J614" s="314" t="s">
        <v>1048</v>
      </c>
      <c r="K614" s="323" t="s">
        <v>57</v>
      </c>
      <c r="L614" s="323">
        <v>12</v>
      </c>
      <c r="M614" s="346">
        <v>15</v>
      </c>
      <c r="N614" s="20"/>
      <c r="O614" s="20"/>
      <c r="P614" s="20"/>
      <c r="Q614" s="20"/>
      <c r="R614" s="308" t="s">
        <v>1049</v>
      </c>
      <c r="S614" s="326" t="s">
        <v>1867</v>
      </c>
    </row>
    <row r="615" spans="1:19" x14ac:dyDescent="0.25">
      <c r="A615" s="406"/>
      <c r="B615" s="310"/>
      <c r="C615" s="22" t="s">
        <v>32</v>
      </c>
      <c r="D615" s="23">
        <v>2218</v>
      </c>
      <c r="E615" s="23">
        <v>2218</v>
      </c>
      <c r="F615" s="23">
        <v>2217.1999999999998</v>
      </c>
      <c r="G615" s="23">
        <v>0.8</v>
      </c>
      <c r="H615" s="54">
        <v>0.8</v>
      </c>
      <c r="I615" s="262">
        <f t="shared" si="43"/>
        <v>0.999639314697926</v>
      </c>
      <c r="J615" s="315"/>
      <c r="K615" s="324"/>
      <c r="L615" s="324"/>
      <c r="M615" s="336"/>
      <c r="N615" s="25"/>
      <c r="O615" s="25"/>
      <c r="P615" s="25"/>
      <c r="Q615" s="25"/>
      <c r="R615" s="310"/>
      <c r="S615" s="332"/>
    </row>
    <row r="616" spans="1:19" ht="15.75" thickBot="1" x14ac:dyDescent="0.3">
      <c r="A616" s="307"/>
      <c r="B616" s="309"/>
      <c r="C616" s="22" t="s">
        <v>30</v>
      </c>
      <c r="D616" s="23">
        <v>209.3</v>
      </c>
      <c r="E616" s="23">
        <v>209.3</v>
      </c>
      <c r="F616" s="23">
        <v>39.1</v>
      </c>
      <c r="G616" s="23">
        <v>170.2</v>
      </c>
      <c r="H616" s="23">
        <v>170.2</v>
      </c>
      <c r="I616" s="279">
        <f t="shared" si="43"/>
        <v>0.18681318681318682</v>
      </c>
      <c r="J616" s="316"/>
      <c r="K616" s="325"/>
      <c r="L616" s="325"/>
      <c r="M616" s="337"/>
      <c r="N616" s="25"/>
      <c r="O616" s="25"/>
      <c r="P616" s="25"/>
      <c r="Q616" s="25"/>
      <c r="R616" s="309"/>
      <c r="S616" s="327"/>
    </row>
    <row r="617" spans="1:19" ht="76.5" x14ac:dyDescent="0.25">
      <c r="A617" s="306" t="s">
        <v>1050</v>
      </c>
      <c r="B617" s="308" t="s">
        <v>1051</v>
      </c>
      <c r="C617" s="17"/>
      <c r="D617" s="18">
        <f>SUM(D618:D620)</f>
        <v>272</v>
      </c>
      <c r="E617" s="18">
        <f>SUM(E618:E620)</f>
        <v>272</v>
      </c>
      <c r="F617" s="18">
        <f>SUM(F618:F620)</f>
        <v>68.900000000000006</v>
      </c>
      <c r="G617" s="18">
        <f>SUM(G618:G620)</f>
        <v>203.1</v>
      </c>
      <c r="H617" s="18">
        <f>SUM(H618:H620)</f>
        <v>203.1</v>
      </c>
      <c r="I617" s="261">
        <f t="shared" si="43"/>
        <v>0.25330882352941181</v>
      </c>
      <c r="J617" s="48" t="s">
        <v>1052</v>
      </c>
      <c r="K617" s="19" t="s">
        <v>22</v>
      </c>
      <c r="L617" s="19">
        <v>1</v>
      </c>
      <c r="M617" s="106">
        <v>0</v>
      </c>
      <c r="N617" s="20"/>
      <c r="O617" s="20"/>
      <c r="P617" s="20"/>
      <c r="Q617" s="20"/>
      <c r="R617" s="48" t="s">
        <v>1053</v>
      </c>
      <c r="S617" s="52" t="s">
        <v>1868</v>
      </c>
    </row>
    <row r="618" spans="1:19" ht="15.75" customHeight="1" x14ac:dyDescent="0.25">
      <c r="A618" s="406"/>
      <c r="B618" s="310"/>
      <c r="C618" s="22" t="s">
        <v>481</v>
      </c>
      <c r="D618" s="23">
        <v>150</v>
      </c>
      <c r="E618" s="23">
        <v>150</v>
      </c>
      <c r="F618" s="23"/>
      <c r="G618" s="23">
        <v>150</v>
      </c>
      <c r="H618" s="54">
        <v>150</v>
      </c>
      <c r="I618" s="262">
        <f>SUM(F618/E618)</f>
        <v>0</v>
      </c>
      <c r="J618" s="333" t="s">
        <v>502</v>
      </c>
      <c r="K618" s="334" t="s">
        <v>29</v>
      </c>
      <c r="L618" s="334">
        <v>15</v>
      </c>
      <c r="M618" s="420">
        <v>0</v>
      </c>
      <c r="N618" s="25"/>
      <c r="O618" s="25"/>
      <c r="P618" s="25"/>
      <c r="Q618" s="25"/>
      <c r="R618" s="338" t="s">
        <v>1054</v>
      </c>
      <c r="S618" s="374" t="s">
        <v>1869</v>
      </c>
    </row>
    <row r="619" spans="1:19" x14ac:dyDescent="0.25">
      <c r="A619" s="406"/>
      <c r="B619" s="310"/>
      <c r="C619" s="22" t="s">
        <v>30</v>
      </c>
      <c r="D619" s="23">
        <v>92</v>
      </c>
      <c r="E619" s="23">
        <v>92</v>
      </c>
      <c r="F619" s="23">
        <v>68.900000000000006</v>
      </c>
      <c r="G619" s="23">
        <v>23.1</v>
      </c>
      <c r="H619" s="54">
        <v>23.1</v>
      </c>
      <c r="I619" s="262">
        <f t="shared" si="43"/>
        <v>0.74891304347826093</v>
      </c>
      <c r="J619" s="315"/>
      <c r="K619" s="324"/>
      <c r="L619" s="324"/>
      <c r="M619" s="381"/>
      <c r="N619" s="25"/>
      <c r="O619" s="25"/>
      <c r="P619" s="25"/>
      <c r="Q619" s="25"/>
      <c r="R619" s="310"/>
      <c r="S619" s="332"/>
    </row>
    <row r="620" spans="1:19" ht="15.75" thickBot="1" x14ac:dyDescent="0.3">
      <c r="A620" s="307"/>
      <c r="B620" s="309"/>
      <c r="C620" s="22" t="s">
        <v>32</v>
      </c>
      <c r="D620" s="23">
        <v>30</v>
      </c>
      <c r="E620" s="23">
        <v>30</v>
      </c>
      <c r="F620" s="23"/>
      <c r="G620" s="23">
        <v>30</v>
      </c>
      <c r="H620" s="23">
        <v>30</v>
      </c>
      <c r="I620" s="279">
        <f t="shared" si="43"/>
        <v>0</v>
      </c>
      <c r="J620" s="316"/>
      <c r="K620" s="325"/>
      <c r="L620" s="325"/>
      <c r="M620" s="382"/>
      <c r="N620" s="25"/>
      <c r="O620" s="25"/>
      <c r="P620" s="25"/>
      <c r="Q620" s="25"/>
      <c r="R620" s="309"/>
      <c r="S620" s="327"/>
    </row>
    <row r="621" spans="1:19" ht="51" x14ac:dyDescent="0.25">
      <c r="A621" s="306" t="s">
        <v>1055</v>
      </c>
      <c r="B621" s="308" t="s">
        <v>1056</v>
      </c>
      <c r="C621" s="17"/>
      <c r="D621" s="18">
        <f>SUM(D622:D623)</f>
        <v>377</v>
      </c>
      <c r="E621" s="18">
        <f>SUM(E622:E623)</f>
        <v>377</v>
      </c>
      <c r="F621" s="18">
        <f>SUM(F622:F623)</f>
        <v>127.6</v>
      </c>
      <c r="G621" s="18">
        <f>SUM(G622:G623)</f>
        <v>249.4</v>
      </c>
      <c r="H621" s="18">
        <f>SUM(H622:H623)</f>
        <v>249.4</v>
      </c>
      <c r="I621" s="261">
        <f t="shared" si="43"/>
        <v>0.33846153846153842</v>
      </c>
      <c r="J621" s="48" t="s">
        <v>502</v>
      </c>
      <c r="K621" s="19" t="s">
        <v>29</v>
      </c>
      <c r="L621" s="19">
        <v>10</v>
      </c>
      <c r="M621" s="106">
        <v>0</v>
      </c>
      <c r="N621" s="20"/>
      <c r="O621" s="20"/>
      <c r="P621" s="20"/>
      <c r="Q621" s="20"/>
      <c r="R621" s="48" t="s">
        <v>1057</v>
      </c>
      <c r="S621" s="52" t="s">
        <v>1870</v>
      </c>
    </row>
    <row r="622" spans="1:19" ht="76.5" customHeight="1" x14ac:dyDescent="0.25">
      <c r="A622" s="406"/>
      <c r="B622" s="310"/>
      <c r="C622" s="22" t="s">
        <v>32</v>
      </c>
      <c r="D622" s="23">
        <v>77</v>
      </c>
      <c r="E622" s="23">
        <v>77</v>
      </c>
      <c r="F622" s="23"/>
      <c r="G622" s="23">
        <v>77</v>
      </c>
      <c r="H622" s="54">
        <v>77</v>
      </c>
      <c r="I622" s="262">
        <f t="shared" si="43"/>
        <v>0</v>
      </c>
      <c r="J622" s="333" t="s">
        <v>1058</v>
      </c>
      <c r="K622" s="334" t="s">
        <v>282</v>
      </c>
      <c r="L622" s="334">
        <v>2</v>
      </c>
      <c r="M622" s="420">
        <v>0</v>
      </c>
      <c r="N622" s="25"/>
      <c r="O622" s="25"/>
      <c r="P622" s="25"/>
      <c r="Q622" s="25"/>
      <c r="R622" s="338" t="s">
        <v>1059</v>
      </c>
      <c r="S622" s="374" t="s">
        <v>1870</v>
      </c>
    </row>
    <row r="623" spans="1:19" ht="15.75" thickBot="1" x14ac:dyDescent="0.3">
      <c r="A623" s="307"/>
      <c r="B623" s="309"/>
      <c r="C623" s="22" t="s">
        <v>481</v>
      </c>
      <c r="D623" s="23">
        <v>300</v>
      </c>
      <c r="E623" s="23">
        <v>300</v>
      </c>
      <c r="F623" s="23">
        <v>127.6</v>
      </c>
      <c r="G623" s="23">
        <v>172.4</v>
      </c>
      <c r="H623" s="23">
        <v>172.4</v>
      </c>
      <c r="I623" s="279">
        <f t="shared" si="43"/>
        <v>0.42533333333333334</v>
      </c>
      <c r="J623" s="316"/>
      <c r="K623" s="325"/>
      <c r="L623" s="325"/>
      <c r="M623" s="382"/>
      <c r="N623" s="25"/>
      <c r="O623" s="25"/>
      <c r="P623" s="25"/>
      <c r="Q623" s="25"/>
      <c r="R623" s="309"/>
      <c r="S623" s="327"/>
    </row>
    <row r="624" spans="1:19" ht="46.5" customHeight="1" x14ac:dyDescent="0.25">
      <c r="A624" s="306" t="s">
        <v>1060</v>
      </c>
      <c r="B624" s="308" t="s">
        <v>1061</v>
      </c>
      <c r="C624" s="17"/>
      <c r="D624" s="18">
        <f>SUM(D625:D626)</f>
        <v>409.4</v>
      </c>
      <c r="E624" s="18">
        <f>SUM(E625:E626)</f>
        <v>409.4</v>
      </c>
      <c r="F624" s="18">
        <f>SUM(F625:F626)</f>
        <v>6.8</v>
      </c>
      <c r="G624" s="18">
        <f>SUM(G625:G626)</f>
        <v>402.6</v>
      </c>
      <c r="H624" s="18">
        <f>SUM(H625:H626)</f>
        <v>402.6</v>
      </c>
      <c r="I624" s="261">
        <f t="shared" si="43"/>
        <v>1.6609672691744015E-2</v>
      </c>
      <c r="J624" s="314" t="s">
        <v>502</v>
      </c>
      <c r="K624" s="323" t="s">
        <v>29</v>
      </c>
      <c r="L624" s="323">
        <v>15</v>
      </c>
      <c r="M624" s="380">
        <v>0</v>
      </c>
      <c r="N624" s="20"/>
      <c r="O624" s="20"/>
      <c r="P624" s="20"/>
      <c r="Q624" s="20"/>
      <c r="R624" s="308" t="s">
        <v>1062</v>
      </c>
      <c r="S624" s="326" t="s">
        <v>1871</v>
      </c>
    </row>
    <row r="625" spans="1:23" x14ac:dyDescent="0.25">
      <c r="A625" s="406"/>
      <c r="B625" s="310"/>
      <c r="C625" s="22" t="s">
        <v>481</v>
      </c>
      <c r="D625" s="23">
        <v>400</v>
      </c>
      <c r="E625" s="23">
        <v>400</v>
      </c>
      <c r="F625" s="23">
        <v>0</v>
      </c>
      <c r="G625" s="23">
        <v>400</v>
      </c>
      <c r="H625" s="54">
        <v>400</v>
      </c>
      <c r="I625" s="262">
        <f t="shared" si="43"/>
        <v>0</v>
      </c>
      <c r="J625" s="315"/>
      <c r="K625" s="324"/>
      <c r="L625" s="324"/>
      <c r="M625" s="381"/>
      <c r="N625" s="25"/>
      <c r="O625" s="25"/>
      <c r="P625" s="25"/>
      <c r="Q625" s="25"/>
      <c r="R625" s="310"/>
      <c r="S625" s="332"/>
    </row>
    <row r="626" spans="1:23" ht="15.75" thickBot="1" x14ac:dyDescent="0.3">
      <c r="A626" s="307"/>
      <c r="B626" s="309"/>
      <c r="C626" s="22" t="s">
        <v>32</v>
      </c>
      <c r="D626" s="23">
        <v>9.4</v>
      </c>
      <c r="E626" s="23">
        <v>9.4</v>
      </c>
      <c r="F626" s="23">
        <v>6.8</v>
      </c>
      <c r="G626" s="23">
        <v>2.6</v>
      </c>
      <c r="H626" s="23">
        <v>2.6</v>
      </c>
      <c r="I626" s="279">
        <f t="shared" si="43"/>
        <v>0.72340425531914887</v>
      </c>
      <c r="J626" s="316"/>
      <c r="K626" s="325"/>
      <c r="L626" s="325"/>
      <c r="M626" s="382"/>
      <c r="N626" s="25"/>
      <c r="O626" s="25"/>
      <c r="P626" s="25"/>
      <c r="Q626" s="25"/>
      <c r="R626" s="309"/>
      <c r="S626" s="327"/>
    </row>
    <row r="627" spans="1:23" ht="94.5" customHeight="1" x14ac:dyDescent="0.25">
      <c r="A627" s="306" t="s">
        <v>1063</v>
      </c>
      <c r="B627" s="308" t="s">
        <v>1064</v>
      </c>
      <c r="C627" s="17"/>
      <c r="D627" s="18">
        <f>SUM(D628:D631)</f>
        <v>2471.7999999999997</v>
      </c>
      <c r="E627" s="18">
        <f>SUM(E628:E631)</f>
        <v>2471.7999999999997</v>
      </c>
      <c r="F627" s="18">
        <f>SUM(F628:F631)</f>
        <v>1528</v>
      </c>
      <c r="G627" s="18">
        <f>SUM(G628:G631)</f>
        <v>943.80000000000007</v>
      </c>
      <c r="H627" s="18">
        <f>SUM(H628:H631)</f>
        <v>943.80000000000007</v>
      </c>
      <c r="I627" s="261">
        <f t="shared" si="43"/>
        <v>0.61817299134234172</v>
      </c>
      <c r="J627" s="48" t="s">
        <v>1065</v>
      </c>
      <c r="K627" s="19" t="s">
        <v>29</v>
      </c>
      <c r="L627" s="19">
        <v>30</v>
      </c>
      <c r="M627" s="107">
        <v>15</v>
      </c>
      <c r="N627" s="20"/>
      <c r="O627" s="20"/>
      <c r="P627" s="20"/>
      <c r="Q627" s="20"/>
      <c r="R627" s="48" t="s">
        <v>1712</v>
      </c>
      <c r="S627" s="52" t="s">
        <v>1872</v>
      </c>
    </row>
    <row r="628" spans="1:23" ht="102" x14ac:dyDescent="0.25">
      <c r="A628" s="406"/>
      <c r="B628" s="310"/>
      <c r="C628" s="22" t="s">
        <v>32</v>
      </c>
      <c r="D628" s="23">
        <v>121.6</v>
      </c>
      <c r="E628" s="23">
        <v>121.6</v>
      </c>
      <c r="F628" s="23"/>
      <c r="G628" s="23">
        <v>121.6</v>
      </c>
      <c r="H628" s="54">
        <v>121.6</v>
      </c>
      <c r="I628" s="262">
        <f t="shared" si="43"/>
        <v>0</v>
      </c>
      <c r="J628" s="55" t="s">
        <v>1066</v>
      </c>
      <c r="K628" s="24" t="s">
        <v>29</v>
      </c>
      <c r="L628" s="24">
        <v>50</v>
      </c>
      <c r="M628" s="109">
        <v>35</v>
      </c>
      <c r="N628" s="25"/>
      <c r="O628" s="25"/>
      <c r="P628" s="25"/>
      <c r="Q628" s="25"/>
      <c r="R628" s="49" t="s">
        <v>1067</v>
      </c>
      <c r="S628" s="53" t="s">
        <v>1873</v>
      </c>
    </row>
    <row r="629" spans="1:23" ht="90" customHeight="1" x14ac:dyDescent="0.25">
      <c r="A629" s="406"/>
      <c r="B629" s="310"/>
      <c r="C629" s="22" t="s">
        <v>481</v>
      </c>
      <c r="D629" s="23">
        <v>1901.6</v>
      </c>
      <c r="E629" s="23">
        <v>1901.6</v>
      </c>
      <c r="F629" s="23">
        <v>1476</v>
      </c>
      <c r="G629" s="23">
        <v>425.6</v>
      </c>
      <c r="H629" s="54">
        <v>425.6</v>
      </c>
      <c r="I629" s="262">
        <f t="shared" si="43"/>
        <v>0.77618847286495585</v>
      </c>
      <c r="J629" s="333" t="s">
        <v>1068</v>
      </c>
      <c r="K629" s="334" t="s">
        <v>29</v>
      </c>
      <c r="L629" s="334">
        <v>50</v>
      </c>
      <c r="M629" s="372">
        <v>25</v>
      </c>
      <c r="N629" s="25"/>
      <c r="O629" s="25"/>
      <c r="P629" s="25"/>
      <c r="Q629" s="25"/>
      <c r="R629" s="338" t="s">
        <v>1069</v>
      </c>
      <c r="S629" s="374" t="s">
        <v>1649</v>
      </c>
    </row>
    <row r="630" spans="1:23" x14ac:dyDescent="0.25">
      <c r="A630" s="406"/>
      <c r="B630" s="310"/>
      <c r="C630" s="22" t="s">
        <v>30</v>
      </c>
      <c r="D630" s="23">
        <v>28.6</v>
      </c>
      <c r="E630" s="23">
        <v>28.6</v>
      </c>
      <c r="F630" s="23">
        <v>28.6</v>
      </c>
      <c r="G630" s="23"/>
      <c r="H630" s="54"/>
      <c r="I630" s="262">
        <f t="shared" si="43"/>
        <v>1</v>
      </c>
      <c r="J630" s="315"/>
      <c r="K630" s="324"/>
      <c r="L630" s="324"/>
      <c r="M630" s="355"/>
      <c r="N630" s="25"/>
      <c r="O630" s="25"/>
      <c r="P630" s="25"/>
      <c r="Q630" s="25"/>
      <c r="R630" s="310"/>
      <c r="S630" s="332"/>
    </row>
    <row r="631" spans="1:23" ht="15.75" thickBot="1" x14ac:dyDescent="0.3">
      <c r="A631" s="307"/>
      <c r="B631" s="309"/>
      <c r="C631" s="22" t="s">
        <v>55</v>
      </c>
      <c r="D631" s="23">
        <v>420</v>
      </c>
      <c r="E631" s="23">
        <v>420</v>
      </c>
      <c r="F631" s="23">
        <v>23.4</v>
      </c>
      <c r="G631" s="23">
        <v>396.6</v>
      </c>
      <c r="H631" s="23">
        <v>396.6</v>
      </c>
      <c r="I631" s="279">
        <f t="shared" si="43"/>
        <v>5.5714285714285709E-2</v>
      </c>
      <c r="J631" s="316"/>
      <c r="K631" s="325"/>
      <c r="L631" s="325"/>
      <c r="M631" s="356"/>
      <c r="N631" s="25"/>
      <c r="O631" s="25"/>
      <c r="P631" s="25"/>
      <c r="Q631" s="25"/>
      <c r="R631" s="309"/>
      <c r="S631" s="327"/>
    </row>
    <row r="632" spans="1:23" ht="76.5" customHeight="1" x14ac:dyDescent="0.25">
      <c r="A632" s="306" t="s">
        <v>1070</v>
      </c>
      <c r="B632" s="308" t="s">
        <v>1071</v>
      </c>
      <c r="C632" s="17"/>
      <c r="D632" s="18">
        <f>SUM(D633:D633)</f>
        <v>90</v>
      </c>
      <c r="E632" s="18">
        <f>SUM(E633:E633)</f>
        <v>90</v>
      </c>
      <c r="F632" s="18">
        <f>SUM(F633:F633)</f>
        <v>52</v>
      </c>
      <c r="G632" s="18">
        <f>SUM(G633:G633)</f>
        <v>38</v>
      </c>
      <c r="H632" s="18">
        <f>SUM(H633:H633)</f>
        <v>38</v>
      </c>
      <c r="I632" s="264">
        <f t="shared" si="43"/>
        <v>0.57777777777777772</v>
      </c>
      <c r="J632" s="308" t="s">
        <v>1072</v>
      </c>
      <c r="K632" s="323" t="s">
        <v>22</v>
      </c>
      <c r="L632" s="323">
        <v>1</v>
      </c>
      <c r="M632" s="470">
        <v>0</v>
      </c>
      <c r="N632" s="20"/>
      <c r="O632" s="20"/>
      <c r="P632" s="20"/>
      <c r="Q632" s="20"/>
      <c r="R632" s="308" t="s">
        <v>1073</v>
      </c>
      <c r="S632" s="326" t="s">
        <v>1874</v>
      </c>
    </row>
    <row r="633" spans="1:23" ht="42" customHeight="1" thickBot="1" x14ac:dyDescent="0.3">
      <c r="A633" s="307"/>
      <c r="B633" s="309"/>
      <c r="C633" s="22" t="s">
        <v>32</v>
      </c>
      <c r="D633" s="23">
        <v>90</v>
      </c>
      <c r="E633" s="23">
        <v>90</v>
      </c>
      <c r="F633" s="23">
        <v>52</v>
      </c>
      <c r="G633" s="23">
        <v>38</v>
      </c>
      <c r="H633" s="23">
        <v>38</v>
      </c>
      <c r="I633" s="279">
        <f t="shared" si="43"/>
        <v>0.57777777777777772</v>
      </c>
      <c r="J633" s="309"/>
      <c r="K633" s="325"/>
      <c r="L633" s="325"/>
      <c r="M633" s="472"/>
      <c r="N633" s="25"/>
      <c r="O633" s="25"/>
      <c r="P633" s="25"/>
      <c r="Q633" s="25"/>
      <c r="R633" s="309"/>
      <c r="S633" s="327"/>
    </row>
    <row r="634" spans="1:23" ht="38.25" customHeight="1" x14ac:dyDescent="0.25">
      <c r="A634" s="306" t="s">
        <v>1074</v>
      </c>
      <c r="B634" s="308" t="s">
        <v>1075</v>
      </c>
      <c r="C634" s="17"/>
      <c r="D634" s="18">
        <f>SUM(D635:D635)</f>
        <v>105</v>
      </c>
      <c r="E634" s="18">
        <f>SUM(E635:E635)</f>
        <v>105</v>
      </c>
      <c r="F634" s="18">
        <f>SUM(F635:F635)</f>
        <v>25.8</v>
      </c>
      <c r="G634" s="18">
        <f>SUM(G635:G635)</f>
        <v>79.2</v>
      </c>
      <c r="H634" s="18">
        <f>SUM(H635:H635)</f>
        <v>79.2</v>
      </c>
      <c r="I634" s="264">
        <f t="shared" si="43"/>
        <v>0.24571428571428572</v>
      </c>
      <c r="J634" s="308" t="s">
        <v>1072</v>
      </c>
      <c r="K634" s="323" t="s">
        <v>22</v>
      </c>
      <c r="L634" s="323">
        <v>1</v>
      </c>
      <c r="M634" s="380">
        <v>0</v>
      </c>
      <c r="N634" s="20"/>
      <c r="O634" s="20"/>
      <c r="P634" s="20"/>
      <c r="Q634" s="20"/>
      <c r="R634" s="308" t="s">
        <v>1076</v>
      </c>
      <c r="S634" s="326" t="s">
        <v>1875</v>
      </c>
    </row>
    <row r="635" spans="1:23" ht="28.5" customHeight="1" thickBot="1" x14ac:dyDescent="0.3">
      <c r="A635" s="307"/>
      <c r="B635" s="309"/>
      <c r="C635" s="22" t="s">
        <v>32</v>
      </c>
      <c r="D635" s="23">
        <v>105</v>
      </c>
      <c r="E635" s="23">
        <v>105</v>
      </c>
      <c r="F635" s="23">
        <v>25.8</v>
      </c>
      <c r="G635" s="23">
        <v>79.2</v>
      </c>
      <c r="H635" s="23">
        <v>79.2</v>
      </c>
      <c r="I635" s="279">
        <f t="shared" si="43"/>
        <v>0.24571428571428572</v>
      </c>
      <c r="J635" s="309"/>
      <c r="K635" s="325"/>
      <c r="L635" s="325"/>
      <c r="M635" s="382"/>
      <c r="N635" s="25"/>
      <c r="O635" s="25"/>
      <c r="P635" s="25"/>
      <c r="Q635" s="25"/>
      <c r="R635" s="309"/>
      <c r="S635" s="327"/>
    </row>
    <row r="636" spans="1:23" ht="30" customHeight="1" x14ac:dyDescent="0.25">
      <c r="A636" s="306" t="s">
        <v>1077</v>
      </c>
      <c r="B636" s="308" t="s">
        <v>1078</v>
      </c>
      <c r="C636" s="17"/>
      <c r="D636" s="18">
        <f>SUM(D637:D638)</f>
        <v>400</v>
      </c>
      <c r="E636" s="18">
        <f>SUM(E637:E638)</f>
        <v>400</v>
      </c>
      <c r="F636" s="18"/>
      <c r="G636" s="18">
        <f>SUM(G637:G638)</f>
        <v>400</v>
      </c>
      <c r="H636" s="18">
        <f>SUM(H637:H638)</f>
        <v>400</v>
      </c>
      <c r="I636" s="261">
        <f t="shared" si="43"/>
        <v>0</v>
      </c>
      <c r="J636" s="314" t="s">
        <v>1072</v>
      </c>
      <c r="K636" s="323" t="s">
        <v>22</v>
      </c>
      <c r="L636" s="323">
        <v>1</v>
      </c>
      <c r="M636" s="380">
        <v>0</v>
      </c>
      <c r="N636" s="20"/>
      <c r="O636" s="20"/>
      <c r="P636" s="20"/>
      <c r="Q636" s="20"/>
      <c r="R636" s="308" t="s">
        <v>1079</v>
      </c>
      <c r="S636" s="326" t="s">
        <v>1876</v>
      </c>
    </row>
    <row r="637" spans="1:23" x14ac:dyDescent="0.25">
      <c r="A637" s="406"/>
      <c r="B637" s="310"/>
      <c r="C637" s="22" t="s">
        <v>481</v>
      </c>
      <c r="D637" s="23">
        <v>350</v>
      </c>
      <c r="E637" s="23">
        <v>350</v>
      </c>
      <c r="F637" s="23"/>
      <c r="G637" s="23">
        <v>350</v>
      </c>
      <c r="H637" s="54">
        <v>350</v>
      </c>
      <c r="I637" s="262">
        <f t="shared" si="43"/>
        <v>0</v>
      </c>
      <c r="J637" s="315"/>
      <c r="K637" s="324"/>
      <c r="L637" s="324"/>
      <c r="M637" s="381"/>
      <c r="N637" s="25"/>
      <c r="O637" s="25"/>
      <c r="P637" s="25"/>
      <c r="Q637" s="25"/>
      <c r="R637" s="310"/>
      <c r="S637" s="332"/>
    </row>
    <row r="638" spans="1:23" ht="15.75" thickBot="1" x14ac:dyDescent="0.3">
      <c r="A638" s="307"/>
      <c r="B638" s="309"/>
      <c r="C638" s="22" t="s">
        <v>32</v>
      </c>
      <c r="D638" s="23">
        <v>50</v>
      </c>
      <c r="E638" s="23">
        <v>50</v>
      </c>
      <c r="F638" s="23"/>
      <c r="G638" s="23">
        <v>50</v>
      </c>
      <c r="H638" s="23">
        <v>50</v>
      </c>
      <c r="I638" s="279">
        <f t="shared" si="43"/>
        <v>0</v>
      </c>
      <c r="J638" s="316"/>
      <c r="K638" s="325"/>
      <c r="L638" s="325"/>
      <c r="M638" s="382"/>
      <c r="N638" s="25"/>
      <c r="O638" s="25"/>
      <c r="P638" s="25"/>
      <c r="Q638" s="25"/>
      <c r="R638" s="309"/>
      <c r="S638" s="327"/>
    </row>
    <row r="639" spans="1:23" ht="102.75" hidden="1" thickBot="1" x14ac:dyDescent="0.3">
      <c r="A639" s="16" t="s">
        <v>1080</v>
      </c>
      <c r="B639" s="42" t="s">
        <v>1081</v>
      </c>
      <c r="C639" s="17"/>
      <c r="D639" s="26">
        <v>0</v>
      </c>
      <c r="E639" s="26">
        <v>0</v>
      </c>
      <c r="F639" s="26">
        <v>0</v>
      </c>
      <c r="G639" s="26">
        <v>0</v>
      </c>
      <c r="H639" s="26">
        <v>0</v>
      </c>
      <c r="I639" s="281"/>
      <c r="J639" s="48"/>
      <c r="K639" s="19"/>
      <c r="L639" s="19"/>
      <c r="M639" s="19"/>
      <c r="N639" s="20"/>
      <c r="O639" s="20"/>
      <c r="P639" s="20"/>
      <c r="Q639" s="20"/>
      <c r="R639" s="48"/>
      <c r="S639" s="52"/>
    </row>
    <row r="640" spans="1:23" ht="32.25" thickBot="1" x14ac:dyDescent="0.3">
      <c r="A640" s="5" t="s">
        <v>1082</v>
      </c>
      <c r="B640" s="39" t="s">
        <v>1083</v>
      </c>
      <c r="C640" s="6"/>
      <c r="D640" s="7">
        <f>SUM(D641:D641)</f>
        <v>5949.4999999999991</v>
      </c>
      <c r="E640" s="7">
        <f>SUM(E641:E641)</f>
        <v>5949.4999999999991</v>
      </c>
      <c r="F640" s="7">
        <f>SUM(F641:F641)</f>
        <v>3157.1</v>
      </c>
      <c r="G640" s="7">
        <f>SUM(G641:G641)</f>
        <v>2792.3000000000006</v>
      </c>
      <c r="H640" s="7">
        <f>SUM(H641:H641)</f>
        <v>2792.3000000000006</v>
      </c>
      <c r="I640" s="258">
        <f>SUM(F640/E640)</f>
        <v>0.53064963442306079</v>
      </c>
      <c r="J640" s="452"/>
      <c r="K640" s="453"/>
      <c r="L640" s="453"/>
      <c r="M640" s="453"/>
      <c r="N640" s="453"/>
      <c r="O640" s="453"/>
      <c r="P640" s="453"/>
      <c r="Q640" s="453"/>
      <c r="R640" s="453"/>
      <c r="S640" s="454"/>
      <c r="U640" s="240"/>
      <c r="V640" s="241" t="s">
        <v>1</v>
      </c>
      <c r="W640" s="251" t="s">
        <v>1943</v>
      </c>
    </row>
    <row r="641" spans="1:23" ht="64.5" thickBot="1" x14ac:dyDescent="0.3">
      <c r="A641" s="8" t="s">
        <v>1084</v>
      </c>
      <c r="B641" s="40" t="s">
        <v>1085</v>
      </c>
      <c r="C641" s="9"/>
      <c r="D641" s="10">
        <f>D642+D661+D677</f>
        <v>5949.4999999999991</v>
      </c>
      <c r="E641" s="10">
        <f>E642+E661+E677</f>
        <v>5949.4999999999991</v>
      </c>
      <c r="F641" s="10">
        <f>F642+F661+F677</f>
        <v>3157.1</v>
      </c>
      <c r="G641" s="10">
        <f>G642+G661+G677-0.1</f>
        <v>2792.3000000000006</v>
      </c>
      <c r="H641" s="10">
        <f>H642+H661+H677-0.1</f>
        <v>2792.3000000000006</v>
      </c>
      <c r="I641" s="259">
        <f>SUM(F641/E641)</f>
        <v>0.53064963442306079</v>
      </c>
      <c r="J641" s="47" t="s">
        <v>1086</v>
      </c>
      <c r="K641" s="11" t="s">
        <v>29</v>
      </c>
      <c r="L641" s="11">
        <v>1</v>
      </c>
      <c r="M641" s="11">
        <v>6.8</v>
      </c>
      <c r="N641" s="12"/>
      <c r="O641" s="12"/>
      <c r="P641" s="12"/>
      <c r="Q641" s="12"/>
      <c r="R641" s="370"/>
      <c r="S641" s="371"/>
      <c r="U641" s="242"/>
      <c r="V641" s="243" t="s">
        <v>1930</v>
      </c>
      <c r="W641" s="244">
        <v>3</v>
      </c>
    </row>
    <row r="642" spans="1:23" ht="39" thickBot="1" x14ac:dyDescent="0.3">
      <c r="A642" s="13" t="s">
        <v>1087</v>
      </c>
      <c r="B642" s="41" t="s">
        <v>1088</v>
      </c>
      <c r="C642" s="14"/>
      <c r="D642" s="15">
        <f>D643+D646+D649+D652+D655+D657</f>
        <v>3689.7</v>
      </c>
      <c r="E642" s="15">
        <f>E643+E646+E649+E652+E655+E657</f>
        <v>3689.7</v>
      </c>
      <c r="F642" s="15">
        <f>F643+F646+F649+F652+F655+F657</f>
        <v>940.09999999999991</v>
      </c>
      <c r="G642" s="15">
        <f>G643+G646+G649+G652+G655+G657</f>
        <v>2749.6000000000004</v>
      </c>
      <c r="H642" s="15">
        <f>H643+H646+H649+H652+H655+H657</f>
        <v>2749.6000000000004</v>
      </c>
      <c r="I642" s="260">
        <f>SUM(F642/E642)</f>
        <v>0.25479036236008346</v>
      </c>
      <c r="J642" s="329"/>
      <c r="K642" s="330"/>
      <c r="L642" s="330"/>
      <c r="M642" s="330"/>
      <c r="N642" s="330"/>
      <c r="O642" s="330"/>
      <c r="P642" s="330"/>
      <c r="Q642" s="330"/>
      <c r="R642" s="330"/>
      <c r="S642" s="331"/>
      <c r="U642" s="249"/>
      <c r="V642" s="243" t="s">
        <v>1931</v>
      </c>
      <c r="W642" s="244">
        <v>2</v>
      </c>
    </row>
    <row r="643" spans="1:23" ht="51" customHeight="1" x14ac:dyDescent="0.25">
      <c r="A643" s="306" t="s">
        <v>1089</v>
      </c>
      <c r="B643" s="308" t="s">
        <v>1090</v>
      </c>
      <c r="C643" s="17"/>
      <c r="D643" s="18">
        <f>SUM(D644:D645)</f>
        <v>593.1</v>
      </c>
      <c r="E643" s="18">
        <f>SUM(E644:E645)</f>
        <v>593.1</v>
      </c>
      <c r="F643" s="18">
        <f>SUM(F644:F645)</f>
        <v>400.1</v>
      </c>
      <c r="G643" s="18">
        <f>SUM(G644:G645)</f>
        <v>193</v>
      </c>
      <c r="H643" s="18">
        <f>SUM(H644:H645)</f>
        <v>193</v>
      </c>
      <c r="I643" s="261">
        <f t="shared" ref="I643:I652" si="44">SUM(F643/E643)</f>
        <v>0.6745911313437869</v>
      </c>
      <c r="J643" s="48" t="s">
        <v>1042</v>
      </c>
      <c r="K643" s="19" t="s">
        <v>22</v>
      </c>
      <c r="L643" s="19">
        <v>1</v>
      </c>
      <c r="M643" s="111">
        <v>1</v>
      </c>
      <c r="N643" s="20"/>
      <c r="O643" s="20"/>
      <c r="P643" s="20"/>
      <c r="Q643" s="20"/>
      <c r="R643" s="48" t="s">
        <v>1091</v>
      </c>
      <c r="S643" s="120"/>
      <c r="U643" s="245"/>
      <c r="V643" s="243" t="s">
        <v>1932</v>
      </c>
      <c r="W643" s="246">
        <v>1</v>
      </c>
    </row>
    <row r="644" spans="1:23" ht="36" customHeight="1" x14ac:dyDescent="0.25">
      <c r="A644" s="406"/>
      <c r="B644" s="310"/>
      <c r="C644" s="22" t="s">
        <v>32</v>
      </c>
      <c r="D644" s="23">
        <v>193.1</v>
      </c>
      <c r="E644" s="23">
        <v>193.1</v>
      </c>
      <c r="F644" s="23">
        <v>56.3</v>
      </c>
      <c r="G644" s="23">
        <v>136.80000000000001</v>
      </c>
      <c r="H644" s="54">
        <v>136.80000000000001</v>
      </c>
      <c r="I644" s="262">
        <f t="shared" si="44"/>
        <v>0.29155877783531847</v>
      </c>
      <c r="J644" s="333" t="s">
        <v>1092</v>
      </c>
      <c r="K644" s="334" t="s">
        <v>22</v>
      </c>
      <c r="L644" s="334">
        <v>1</v>
      </c>
      <c r="M644" s="353">
        <v>1</v>
      </c>
      <c r="N644" s="25"/>
      <c r="O644" s="25"/>
      <c r="P644" s="25"/>
      <c r="Q644" s="25"/>
      <c r="R644" s="338" t="s">
        <v>1751</v>
      </c>
      <c r="S644" s="363"/>
      <c r="U644" s="250"/>
      <c r="V644" s="243" t="s">
        <v>1933</v>
      </c>
      <c r="W644" s="246">
        <v>6</v>
      </c>
    </row>
    <row r="645" spans="1:23" ht="23.25" customHeight="1" thickBot="1" x14ac:dyDescent="0.3">
      <c r="A645" s="307"/>
      <c r="B645" s="309"/>
      <c r="C645" s="22" t="s">
        <v>208</v>
      </c>
      <c r="D645" s="23">
        <v>400</v>
      </c>
      <c r="E645" s="23">
        <v>400</v>
      </c>
      <c r="F645" s="23">
        <v>343.8</v>
      </c>
      <c r="G645" s="23">
        <v>56.2</v>
      </c>
      <c r="H645" s="23">
        <v>56.2</v>
      </c>
      <c r="I645" s="279">
        <f t="shared" si="44"/>
        <v>0.85950000000000004</v>
      </c>
      <c r="J645" s="316"/>
      <c r="K645" s="325"/>
      <c r="L645" s="325"/>
      <c r="M645" s="349"/>
      <c r="N645" s="25"/>
      <c r="O645" s="25"/>
      <c r="P645" s="25"/>
      <c r="Q645" s="25"/>
      <c r="R645" s="309"/>
      <c r="S645" s="319"/>
      <c r="U645" s="247"/>
      <c r="V645" s="243" t="s">
        <v>1934</v>
      </c>
      <c r="W645" s="246">
        <v>1</v>
      </c>
    </row>
    <row r="646" spans="1:23" ht="77.25" customHeight="1" x14ac:dyDescent="0.25">
      <c r="A646" s="306" t="s">
        <v>1093</v>
      </c>
      <c r="B646" s="308" t="s">
        <v>1094</v>
      </c>
      <c r="C646" s="17"/>
      <c r="D646" s="18">
        <f>SUM(D647:D648)</f>
        <v>607.6</v>
      </c>
      <c r="E646" s="18">
        <f>SUM(E647:E648)</f>
        <v>607.6</v>
      </c>
      <c r="F646" s="18">
        <f>SUM(F647:F648)</f>
        <v>234.4</v>
      </c>
      <c r="G646" s="18">
        <f>SUM(G647:G648)</f>
        <v>373.2</v>
      </c>
      <c r="H646" s="18">
        <f>SUM(H647:H648)</f>
        <v>373.2</v>
      </c>
      <c r="I646" s="261">
        <f t="shared" si="44"/>
        <v>0.3857801184990125</v>
      </c>
      <c r="J646" s="314" t="s">
        <v>1095</v>
      </c>
      <c r="K646" s="323" t="s">
        <v>29</v>
      </c>
      <c r="L646" s="323">
        <v>70</v>
      </c>
      <c r="M646" s="354">
        <v>40</v>
      </c>
      <c r="N646" s="20"/>
      <c r="O646" s="20"/>
      <c r="P646" s="20"/>
      <c r="Q646" s="20"/>
      <c r="R646" s="360" t="s">
        <v>1880</v>
      </c>
      <c r="S646" s="326" t="s">
        <v>1881</v>
      </c>
      <c r="U646" s="240"/>
      <c r="V646" s="248" t="s">
        <v>1935</v>
      </c>
      <c r="W646" s="246">
        <f>+SUM(W641:W645)</f>
        <v>13</v>
      </c>
    </row>
    <row r="647" spans="1:23" x14ac:dyDescent="0.25">
      <c r="A647" s="406"/>
      <c r="B647" s="310"/>
      <c r="C647" s="22" t="s">
        <v>30</v>
      </c>
      <c r="D647" s="23">
        <v>257.60000000000002</v>
      </c>
      <c r="E647" s="23">
        <v>257.60000000000002</v>
      </c>
      <c r="F647" s="23">
        <v>34.4</v>
      </c>
      <c r="G647" s="23">
        <v>223.2</v>
      </c>
      <c r="H647" s="54">
        <v>223.2</v>
      </c>
      <c r="I647" s="262">
        <f t="shared" si="44"/>
        <v>0.13354037267080743</v>
      </c>
      <c r="J647" s="315"/>
      <c r="K647" s="324"/>
      <c r="L647" s="324"/>
      <c r="M647" s="355"/>
      <c r="N647" s="25"/>
      <c r="O647" s="25"/>
      <c r="P647" s="25"/>
      <c r="Q647" s="25"/>
      <c r="R647" s="361"/>
      <c r="S647" s="332"/>
    </row>
    <row r="648" spans="1:23" ht="15.75" thickBot="1" x14ac:dyDescent="0.3">
      <c r="A648" s="307"/>
      <c r="B648" s="309"/>
      <c r="C648" s="22" t="s">
        <v>32</v>
      </c>
      <c r="D648" s="23">
        <v>350</v>
      </c>
      <c r="E648" s="23">
        <v>350</v>
      </c>
      <c r="F648" s="23">
        <v>200</v>
      </c>
      <c r="G648" s="23">
        <v>150</v>
      </c>
      <c r="H648" s="23">
        <v>150</v>
      </c>
      <c r="I648" s="279">
        <f t="shared" si="44"/>
        <v>0.5714285714285714</v>
      </c>
      <c r="J648" s="316"/>
      <c r="K648" s="325"/>
      <c r="L648" s="325"/>
      <c r="M648" s="356"/>
      <c r="N648" s="25"/>
      <c r="O648" s="25"/>
      <c r="P648" s="25"/>
      <c r="Q648" s="25"/>
      <c r="R648" s="362"/>
      <c r="S648" s="327"/>
    </row>
    <row r="649" spans="1:23" ht="25.5" customHeight="1" x14ac:dyDescent="0.25">
      <c r="A649" s="306" t="s">
        <v>1096</v>
      </c>
      <c r="B649" s="308" t="s">
        <v>1097</v>
      </c>
      <c r="C649" s="17"/>
      <c r="D649" s="18">
        <f>SUM(D650:D651)</f>
        <v>255.5</v>
      </c>
      <c r="E649" s="18">
        <f>SUM(E650:E651)</f>
        <v>255.5</v>
      </c>
      <c r="F649" s="18">
        <f>SUM(F650:F651)</f>
        <v>255.5</v>
      </c>
      <c r="G649" s="18"/>
      <c r="H649" s="18"/>
      <c r="I649" s="261">
        <f t="shared" si="44"/>
        <v>1</v>
      </c>
      <c r="J649" s="314" t="s">
        <v>1098</v>
      </c>
      <c r="K649" s="323" t="s">
        <v>29</v>
      </c>
      <c r="L649" s="323">
        <v>100</v>
      </c>
      <c r="M649" s="347">
        <v>100</v>
      </c>
      <c r="N649" s="20"/>
      <c r="O649" s="20"/>
      <c r="P649" s="20"/>
      <c r="Q649" s="20"/>
      <c r="R649" s="360" t="s">
        <v>1882</v>
      </c>
      <c r="S649" s="303"/>
    </row>
    <row r="650" spans="1:23" x14ac:dyDescent="0.25">
      <c r="A650" s="406"/>
      <c r="B650" s="310"/>
      <c r="C650" s="22" t="s">
        <v>32</v>
      </c>
      <c r="D650" s="23">
        <v>235</v>
      </c>
      <c r="E650" s="23">
        <v>235</v>
      </c>
      <c r="F650" s="23">
        <v>235</v>
      </c>
      <c r="G650" s="23"/>
      <c r="H650" s="54"/>
      <c r="I650" s="262">
        <f t="shared" si="44"/>
        <v>1</v>
      </c>
      <c r="J650" s="315"/>
      <c r="K650" s="324"/>
      <c r="L650" s="324"/>
      <c r="M650" s="348"/>
      <c r="N650" s="25"/>
      <c r="O650" s="25"/>
      <c r="P650" s="25"/>
      <c r="Q650" s="25"/>
      <c r="R650" s="361"/>
      <c r="S650" s="304"/>
    </row>
    <row r="651" spans="1:23" ht="17.25" customHeight="1" thickBot="1" x14ac:dyDescent="0.3">
      <c r="A651" s="307"/>
      <c r="B651" s="309"/>
      <c r="C651" s="22" t="s">
        <v>30</v>
      </c>
      <c r="D651" s="23">
        <v>20.5</v>
      </c>
      <c r="E651" s="23">
        <v>20.5</v>
      </c>
      <c r="F651" s="23">
        <v>20.5</v>
      </c>
      <c r="G651" s="23"/>
      <c r="H651" s="23"/>
      <c r="I651" s="279">
        <f t="shared" si="44"/>
        <v>1</v>
      </c>
      <c r="J651" s="316"/>
      <c r="K651" s="325"/>
      <c r="L651" s="325"/>
      <c r="M651" s="349"/>
      <c r="N651" s="25"/>
      <c r="O651" s="25"/>
      <c r="P651" s="25"/>
      <c r="Q651" s="25"/>
      <c r="R651" s="362"/>
      <c r="S651" s="305"/>
    </row>
    <row r="652" spans="1:23" ht="25.5" x14ac:dyDescent="0.25">
      <c r="A652" s="306" t="s">
        <v>1099</v>
      </c>
      <c r="B652" s="308" t="s">
        <v>1100</v>
      </c>
      <c r="C652" s="17" t="s">
        <v>32</v>
      </c>
      <c r="D652" s="18">
        <f>SUM(D653:D654)+840.5</f>
        <v>840.5</v>
      </c>
      <c r="E652" s="18">
        <f>SUM(E653:E654)+840.5</f>
        <v>840.5</v>
      </c>
      <c r="F652" s="18">
        <f>SUM(F653:F654)+35.3</f>
        <v>35.299999999999997</v>
      </c>
      <c r="G652" s="18">
        <f>SUM(G653:G654)+805.2</f>
        <v>805.2</v>
      </c>
      <c r="H652" s="18">
        <f>SUM(H653:H654)+805.2</f>
        <v>805.2</v>
      </c>
      <c r="I652" s="264">
        <f t="shared" si="44"/>
        <v>4.1998810232004753E-2</v>
      </c>
      <c r="J652" s="48" t="s">
        <v>1101</v>
      </c>
      <c r="K652" s="19" t="s">
        <v>22</v>
      </c>
      <c r="L652" s="19">
        <v>1</v>
      </c>
      <c r="M652" s="141">
        <v>1</v>
      </c>
      <c r="N652" s="20"/>
      <c r="O652" s="20"/>
      <c r="P652" s="20"/>
      <c r="Q652" s="20"/>
      <c r="R652" s="147"/>
      <c r="S652" s="158"/>
    </row>
    <row r="653" spans="1:23" ht="56.25" customHeight="1" x14ac:dyDescent="0.25">
      <c r="A653" s="406"/>
      <c r="B653" s="310"/>
      <c r="C653" s="22"/>
      <c r="D653" s="23"/>
      <c r="E653" s="23"/>
      <c r="F653" s="23"/>
      <c r="G653" s="23"/>
      <c r="H653" s="23"/>
      <c r="I653" s="269"/>
      <c r="J653" s="49" t="s">
        <v>1102</v>
      </c>
      <c r="K653" s="24" t="s">
        <v>29</v>
      </c>
      <c r="L653" s="24">
        <v>100</v>
      </c>
      <c r="M653" s="103">
        <v>0</v>
      </c>
      <c r="N653" s="25"/>
      <c r="O653" s="25"/>
      <c r="P653" s="25"/>
      <c r="Q653" s="25"/>
      <c r="R653" s="338" t="s">
        <v>1884</v>
      </c>
      <c r="S653" s="53" t="s">
        <v>1885</v>
      </c>
    </row>
    <row r="654" spans="1:23" ht="39" thickBot="1" x14ac:dyDescent="0.3">
      <c r="A654" s="307"/>
      <c r="B654" s="309"/>
      <c r="C654" s="22"/>
      <c r="D654" s="23"/>
      <c r="E654" s="23"/>
      <c r="F654" s="23"/>
      <c r="G654" s="23"/>
      <c r="H654" s="23"/>
      <c r="I654" s="269"/>
      <c r="J654" s="49" t="s">
        <v>1103</v>
      </c>
      <c r="K654" s="24" t="s">
        <v>298</v>
      </c>
      <c r="L654" s="94">
        <v>1900</v>
      </c>
      <c r="M654" s="103">
        <v>0</v>
      </c>
      <c r="N654" s="25"/>
      <c r="O654" s="25"/>
      <c r="P654" s="25"/>
      <c r="Q654" s="25"/>
      <c r="R654" s="309"/>
      <c r="S654" s="53" t="s">
        <v>1883</v>
      </c>
    </row>
    <row r="655" spans="1:23" ht="105.75" customHeight="1" x14ac:dyDescent="0.25">
      <c r="A655" s="306" t="s">
        <v>1104</v>
      </c>
      <c r="B655" s="308" t="s">
        <v>1105</v>
      </c>
      <c r="C655" s="17" t="s">
        <v>481</v>
      </c>
      <c r="D655" s="18">
        <f>SUM(D656:D656)+599.7</f>
        <v>599.70000000000005</v>
      </c>
      <c r="E655" s="18">
        <f>SUM(E656:E656)+599.7</f>
        <v>599.70000000000005</v>
      </c>
      <c r="F655" s="18"/>
      <c r="G655" s="18">
        <f>SUM(G656:G656)+599.7</f>
        <v>599.70000000000005</v>
      </c>
      <c r="H655" s="18">
        <f>SUM(H656:H656)+599.7</f>
        <v>599.70000000000005</v>
      </c>
      <c r="I655" s="264">
        <f t="shared" ref="I655" si="45">SUM(F655/E655)</f>
        <v>0</v>
      </c>
      <c r="J655" s="48" t="s">
        <v>1058</v>
      </c>
      <c r="K655" s="19" t="s">
        <v>29</v>
      </c>
      <c r="L655" s="19">
        <v>12</v>
      </c>
      <c r="M655" s="106">
        <v>0</v>
      </c>
      <c r="N655" s="20"/>
      <c r="O655" s="20"/>
      <c r="P655" s="20"/>
      <c r="Q655" s="20"/>
      <c r="R655" s="297"/>
      <c r="S655" s="52" t="s">
        <v>1886</v>
      </c>
    </row>
    <row r="656" spans="1:23" ht="30.75" customHeight="1" thickBot="1" x14ac:dyDescent="0.3">
      <c r="A656" s="406"/>
      <c r="B656" s="310"/>
      <c r="C656" s="162"/>
      <c r="D656" s="163"/>
      <c r="E656" s="163"/>
      <c r="F656" s="163"/>
      <c r="G656" s="163"/>
      <c r="H656" s="163"/>
      <c r="I656" s="270"/>
      <c r="J656" s="151" t="s">
        <v>502</v>
      </c>
      <c r="K656" s="159" t="s">
        <v>29</v>
      </c>
      <c r="L656" s="159">
        <v>9</v>
      </c>
      <c r="M656" s="217">
        <v>0</v>
      </c>
      <c r="N656" s="164"/>
      <c r="O656" s="164"/>
      <c r="P656" s="164"/>
      <c r="Q656" s="164"/>
      <c r="R656" s="328"/>
      <c r="S656" s="152" t="s">
        <v>1887</v>
      </c>
    </row>
    <row r="657" spans="1:19" ht="43.5" customHeight="1" x14ac:dyDescent="0.25">
      <c r="A657" s="410" t="s">
        <v>1106</v>
      </c>
      <c r="B657" s="398" t="s">
        <v>1107</v>
      </c>
      <c r="C657" s="194"/>
      <c r="D657" s="195">
        <f>SUM(D658:D660)</f>
        <v>793.3</v>
      </c>
      <c r="E657" s="195">
        <f>SUM(E658:E660)</f>
        <v>793.3</v>
      </c>
      <c r="F657" s="195">
        <f>SUM(F658:F660)</f>
        <v>14.799999999999999</v>
      </c>
      <c r="G657" s="195">
        <f>SUM(G658:G660)</f>
        <v>778.5</v>
      </c>
      <c r="H657" s="195">
        <f>SUM(H658:H660)</f>
        <v>778.5</v>
      </c>
      <c r="I657" s="271">
        <f t="shared" ref="I657:I660" si="46">SUM(F657/E657)</f>
        <v>1.8656246060758854E-2</v>
      </c>
      <c r="J657" s="207" t="s">
        <v>1108</v>
      </c>
      <c r="K657" s="208" t="s">
        <v>57</v>
      </c>
      <c r="L657" s="208">
        <v>1</v>
      </c>
      <c r="M657" s="225">
        <v>0</v>
      </c>
      <c r="N657" s="196"/>
      <c r="O657" s="196"/>
      <c r="P657" s="196"/>
      <c r="Q657" s="196"/>
      <c r="R657" s="226"/>
      <c r="S657" s="227" t="s">
        <v>1888</v>
      </c>
    </row>
    <row r="658" spans="1:19" ht="38.25" x14ac:dyDescent="0.25">
      <c r="A658" s="411"/>
      <c r="B658" s="310"/>
      <c r="C658" s="22" t="s">
        <v>30</v>
      </c>
      <c r="D658" s="23">
        <v>61.5</v>
      </c>
      <c r="E658" s="23">
        <v>61.5</v>
      </c>
      <c r="F658" s="23">
        <v>0</v>
      </c>
      <c r="G658" s="23">
        <v>61.5</v>
      </c>
      <c r="H658" s="54">
        <v>61.5</v>
      </c>
      <c r="I658" s="262">
        <f t="shared" si="46"/>
        <v>0</v>
      </c>
      <c r="J658" s="55" t="s">
        <v>1109</v>
      </c>
      <c r="K658" s="24" t="s">
        <v>57</v>
      </c>
      <c r="L658" s="24">
        <v>4</v>
      </c>
      <c r="M658" s="104">
        <v>4</v>
      </c>
      <c r="N658" s="25"/>
      <c r="O658" s="25"/>
      <c r="P658" s="25"/>
      <c r="Q658" s="25"/>
      <c r="R658" s="49" t="s">
        <v>1889</v>
      </c>
      <c r="S658" s="228"/>
    </row>
    <row r="659" spans="1:19" ht="45" customHeight="1" x14ac:dyDescent="0.25">
      <c r="A659" s="411"/>
      <c r="B659" s="310"/>
      <c r="C659" s="22" t="s">
        <v>481</v>
      </c>
      <c r="D659" s="23">
        <v>728.8</v>
      </c>
      <c r="E659" s="23">
        <v>728.8</v>
      </c>
      <c r="F659" s="23">
        <v>12.2</v>
      </c>
      <c r="G659" s="23">
        <v>716.6</v>
      </c>
      <c r="H659" s="54">
        <v>716.6</v>
      </c>
      <c r="I659" s="262">
        <f t="shared" si="46"/>
        <v>1.6739846322722282E-2</v>
      </c>
      <c r="J659" s="55" t="s">
        <v>1110</v>
      </c>
      <c r="K659" s="24" t="s">
        <v>282</v>
      </c>
      <c r="L659" s="24">
        <v>4</v>
      </c>
      <c r="M659" s="109">
        <v>2</v>
      </c>
      <c r="N659" s="25"/>
      <c r="O659" s="25"/>
      <c r="P659" s="25"/>
      <c r="Q659" s="25"/>
      <c r="R659" s="49" t="s">
        <v>1891</v>
      </c>
      <c r="S659" s="229" t="s">
        <v>1890</v>
      </c>
    </row>
    <row r="660" spans="1:19" ht="51.75" thickBot="1" x14ac:dyDescent="0.3">
      <c r="A660" s="412"/>
      <c r="B660" s="399"/>
      <c r="C660" s="197" t="s">
        <v>55</v>
      </c>
      <c r="D660" s="198">
        <v>3</v>
      </c>
      <c r="E660" s="198">
        <v>3</v>
      </c>
      <c r="F660" s="198">
        <v>2.6</v>
      </c>
      <c r="G660" s="198">
        <v>0.4</v>
      </c>
      <c r="H660" s="198">
        <v>0.4</v>
      </c>
      <c r="I660" s="272">
        <f t="shared" si="46"/>
        <v>0.8666666666666667</v>
      </c>
      <c r="J660" s="230" t="s">
        <v>1111</v>
      </c>
      <c r="K660" s="231" t="s">
        <v>219</v>
      </c>
      <c r="L660" s="231">
        <v>8</v>
      </c>
      <c r="M660" s="232">
        <v>0</v>
      </c>
      <c r="N660" s="199"/>
      <c r="O660" s="199"/>
      <c r="P660" s="199"/>
      <c r="Q660" s="199"/>
      <c r="R660" s="233"/>
      <c r="S660" s="234" t="s">
        <v>1650</v>
      </c>
    </row>
    <row r="661" spans="1:19" ht="51.75" thickBot="1" x14ac:dyDescent="0.3">
      <c r="A661" s="221" t="s">
        <v>1112</v>
      </c>
      <c r="B661" s="222" t="s">
        <v>1113</v>
      </c>
      <c r="C661" s="223"/>
      <c r="D661" s="224">
        <f>D662+D668+D673</f>
        <v>1707.3999999999999</v>
      </c>
      <c r="E661" s="224">
        <f>E662+E668+E673</f>
        <v>1707.3999999999999</v>
      </c>
      <c r="F661" s="224">
        <f>F662+F668+F673</f>
        <v>1699.5</v>
      </c>
      <c r="G661" s="224">
        <f>G662+G668+G673</f>
        <v>7.9</v>
      </c>
      <c r="H661" s="224">
        <f>H662+H668+H673</f>
        <v>7.9</v>
      </c>
      <c r="I661" s="282">
        <f>SUM(F661/E661)</f>
        <v>0.99537308187888029</v>
      </c>
      <c r="J661" s="473"/>
      <c r="K661" s="474"/>
      <c r="L661" s="474"/>
      <c r="M661" s="474"/>
      <c r="N661" s="474"/>
      <c r="O661" s="474"/>
      <c r="P661" s="474"/>
      <c r="Q661" s="474"/>
      <c r="R661" s="474"/>
      <c r="S661" s="475"/>
    </row>
    <row r="662" spans="1:19" ht="28.5" customHeight="1" x14ac:dyDescent="0.25">
      <c r="A662" s="306" t="s">
        <v>1114</v>
      </c>
      <c r="B662" s="308" t="s">
        <v>1115</v>
      </c>
      <c r="C662" s="17"/>
      <c r="D662" s="18">
        <f>SUM(D663:D667)</f>
        <v>175.10000000000002</v>
      </c>
      <c r="E662" s="18">
        <f>SUM(E663:E667)</f>
        <v>175.10000000000002</v>
      </c>
      <c r="F662" s="18">
        <f>SUM(F663:F667)</f>
        <v>167.20000000000002</v>
      </c>
      <c r="G662" s="18">
        <f>SUM(G663:G667)</f>
        <v>7.9</v>
      </c>
      <c r="H662" s="18">
        <f>SUM(H663:H667)</f>
        <v>7.9</v>
      </c>
      <c r="I662" s="261">
        <f t="shared" ref="I662:I673" si="47">SUM(F662/E662)</f>
        <v>0.95488292404340369</v>
      </c>
      <c r="J662" s="314" t="s">
        <v>1116</v>
      </c>
      <c r="K662" s="323" t="s">
        <v>57</v>
      </c>
      <c r="L662" s="323">
        <v>150</v>
      </c>
      <c r="M662" s="346">
        <v>415</v>
      </c>
      <c r="N662" s="20"/>
      <c r="O662" s="20"/>
      <c r="P662" s="20"/>
      <c r="Q662" s="20"/>
      <c r="R662" s="308" t="s">
        <v>1117</v>
      </c>
      <c r="S662" s="326" t="s">
        <v>1892</v>
      </c>
    </row>
    <row r="663" spans="1:19" x14ac:dyDescent="0.25">
      <c r="A663" s="406"/>
      <c r="B663" s="310"/>
      <c r="C663" s="22" t="s">
        <v>30</v>
      </c>
      <c r="D663" s="23">
        <v>0.6</v>
      </c>
      <c r="E663" s="23">
        <v>0.6</v>
      </c>
      <c r="F663" s="23">
        <v>0.6</v>
      </c>
      <c r="G663" s="23"/>
      <c r="H663" s="54"/>
      <c r="I663" s="262">
        <f t="shared" si="47"/>
        <v>1</v>
      </c>
      <c r="J663" s="315"/>
      <c r="K663" s="324"/>
      <c r="L663" s="324"/>
      <c r="M663" s="336"/>
      <c r="N663" s="25"/>
      <c r="O663" s="25"/>
      <c r="P663" s="25"/>
      <c r="Q663" s="25"/>
      <c r="R663" s="310"/>
      <c r="S663" s="332"/>
    </row>
    <row r="664" spans="1:19" x14ac:dyDescent="0.25">
      <c r="A664" s="406"/>
      <c r="B664" s="310"/>
      <c r="C664" s="22" t="s">
        <v>180</v>
      </c>
      <c r="D664" s="23">
        <v>26.6</v>
      </c>
      <c r="E664" s="23">
        <v>26.6</v>
      </c>
      <c r="F664" s="23">
        <v>23.5</v>
      </c>
      <c r="G664" s="23">
        <v>3.1</v>
      </c>
      <c r="H664" s="54">
        <v>3.1</v>
      </c>
      <c r="I664" s="262">
        <f t="shared" si="47"/>
        <v>0.88345864661654128</v>
      </c>
      <c r="J664" s="315"/>
      <c r="K664" s="324"/>
      <c r="L664" s="324"/>
      <c r="M664" s="336"/>
      <c r="N664" s="25"/>
      <c r="O664" s="25"/>
      <c r="P664" s="25"/>
      <c r="Q664" s="25"/>
      <c r="R664" s="310"/>
      <c r="S664" s="332"/>
    </row>
    <row r="665" spans="1:19" x14ac:dyDescent="0.25">
      <c r="A665" s="406"/>
      <c r="B665" s="310"/>
      <c r="C665" s="22" t="s">
        <v>185</v>
      </c>
      <c r="D665" s="23">
        <v>1</v>
      </c>
      <c r="E665" s="23">
        <v>1</v>
      </c>
      <c r="F665" s="23">
        <v>0.2</v>
      </c>
      <c r="G665" s="23">
        <v>0.8</v>
      </c>
      <c r="H665" s="54">
        <v>0.8</v>
      </c>
      <c r="I665" s="262">
        <f t="shared" si="47"/>
        <v>0.2</v>
      </c>
      <c r="J665" s="315"/>
      <c r="K665" s="324"/>
      <c r="L665" s="324"/>
      <c r="M665" s="336"/>
      <c r="N665" s="25"/>
      <c r="O665" s="25"/>
      <c r="P665" s="25"/>
      <c r="Q665" s="25"/>
      <c r="R665" s="310"/>
      <c r="S665" s="332"/>
    </row>
    <row r="666" spans="1:19" x14ac:dyDescent="0.25">
      <c r="A666" s="406"/>
      <c r="B666" s="310"/>
      <c r="C666" s="22" t="s">
        <v>172</v>
      </c>
      <c r="D666" s="23">
        <v>4.5</v>
      </c>
      <c r="E666" s="23">
        <v>4.5</v>
      </c>
      <c r="F666" s="23">
        <v>2</v>
      </c>
      <c r="G666" s="23">
        <v>2.5</v>
      </c>
      <c r="H666" s="54">
        <v>2.5</v>
      </c>
      <c r="I666" s="262">
        <f t="shared" si="47"/>
        <v>0.44444444444444442</v>
      </c>
      <c r="J666" s="315"/>
      <c r="K666" s="324"/>
      <c r="L666" s="324"/>
      <c r="M666" s="336"/>
      <c r="N666" s="25"/>
      <c r="O666" s="25"/>
      <c r="P666" s="25"/>
      <c r="Q666" s="25"/>
      <c r="R666" s="310"/>
      <c r="S666" s="332"/>
    </row>
    <row r="667" spans="1:19" ht="15.75" thickBot="1" x14ac:dyDescent="0.3">
      <c r="A667" s="307"/>
      <c r="B667" s="309"/>
      <c r="C667" s="22" t="s">
        <v>32</v>
      </c>
      <c r="D667" s="23">
        <v>142.4</v>
      </c>
      <c r="E667" s="23">
        <v>142.4</v>
      </c>
      <c r="F667" s="23">
        <v>140.9</v>
      </c>
      <c r="G667" s="23">
        <v>1.5</v>
      </c>
      <c r="H667" s="23">
        <v>1.5</v>
      </c>
      <c r="I667" s="279">
        <f t="shared" si="47"/>
        <v>0.9894662921348315</v>
      </c>
      <c r="J667" s="316"/>
      <c r="K667" s="325"/>
      <c r="L667" s="325"/>
      <c r="M667" s="337"/>
      <c r="N667" s="25"/>
      <c r="O667" s="25"/>
      <c r="P667" s="25"/>
      <c r="Q667" s="25"/>
      <c r="R667" s="309"/>
      <c r="S667" s="327"/>
    </row>
    <row r="668" spans="1:19" ht="114.75" x14ac:dyDescent="0.25">
      <c r="A668" s="306" t="s">
        <v>1118</v>
      </c>
      <c r="B668" s="308" t="s">
        <v>1119</v>
      </c>
      <c r="C668" s="17"/>
      <c r="D668" s="18">
        <f>SUM(D669:D672)</f>
        <v>1381.6</v>
      </c>
      <c r="E668" s="18">
        <f>SUM(E669:E672)</f>
        <v>1381.6</v>
      </c>
      <c r="F668" s="18">
        <f>SUM(F669:F672)</f>
        <v>1381.6</v>
      </c>
      <c r="G668" s="18"/>
      <c r="H668" s="18"/>
      <c r="I668" s="261">
        <f t="shared" si="47"/>
        <v>1</v>
      </c>
      <c r="J668" s="48" t="s">
        <v>1120</v>
      </c>
      <c r="K668" s="19" t="s">
        <v>57</v>
      </c>
      <c r="L668" s="19">
        <v>62</v>
      </c>
      <c r="M668" s="107">
        <v>61</v>
      </c>
      <c r="N668" s="20"/>
      <c r="O668" s="20"/>
      <c r="P668" s="20"/>
      <c r="Q668" s="20"/>
      <c r="R668" s="48" t="s">
        <v>1928</v>
      </c>
      <c r="S668" s="52" t="s">
        <v>1651</v>
      </c>
    </row>
    <row r="669" spans="1:19" ht="38.25" x14ac:dyDescent="0.25">
      <c r="A669" s="406"/>
      <c r="B669" s="310"/>
      <c r="C669" s="22" t="s">
        <v>32</v>
      </c>
      <c r="D669" s="23">
        <v>358.7</v>
      </c>
      <c r="E669" s="23">
        <v>358.7</v>
      </c>
      <c r="F669" s="23">
        <v>358.7</v>
      </c>
      <c r="G669" s="23"/>
      <c r="H669" s="54"/>
      <c r="I669" s="262">
        <f t="shared" si="47"/>
        <v>1</v>
      </c>
      <c r="J669" s="55" t="s">
        <v>1121</v>
      </c>
      <c r="K669" s="24" t="s">
        <v>57</v>
      </c>
      <c r="L669" s="94">
        <v>40000</v>
      </c>
      <c r="M669" s="114">
        <v>79257</v>
      </c>
      <c r="N669" s="25"/>
      <c r="O669" s="25"/>
      <c r="P669" s="25"/>
      <c r="Q669" s="25"/>
      <c r="R669" s="49" t="s">
        <v>1122</v>
      </c>
      <c r="S669" s="53" t="s">
        <v>1652</v>
      </c>
    </row>
    <row r="670" spans="1:19" ht="51" x14ac:dyDescent="0.25">
      <c r="A670" s="406"/>
      <c r="B670" s="310"/>
      <c r="C670" s="22" t="s">
        <v>697</v>
      </c>
      <c r="D670" s="23">
        <v>1022.9</v>
      </c>
      <c r="E670" s="23">
        <v>1022.9</v>
      </c>
      <c r="F670" s="23">
        <v>1022.9</v>
      </c>
      <c r="G670" s="23"/>
      <c r="H670" s="54"/>
      <c r="I670" s="262">
        <f t="shared" si="47"/>
        <v>1</v>
      </c>
      <c r="J670" s="55" t="s">
        <v>1123</v>
      </c>
      <c r="K670" s="24" t="s">
        <v>57</v>
      </c>
      <c r="L670" s="24">
        <v>1</v>
      </c>
      <c r="M670" s="104">
        <v>1</v>
      </c>
      <c r="N670" s="25"/>
      <c r="O670" s="25"/>
      <c r="P670" s="25"/>
      <c r="Q670" s="25"/>
      <c r="R670" s="145"/>
      <c r="S670" s="53"/>
    </row>
    <row r="671" spans="1:19" ht="38.25" x14ac:dyDescent="0.25">
      <c r="A671" s="406"/>
      <c r="B671" s="310"/>
      <c r="C671" s="22"/>
      <c r="D671" s="23"/>
      <c r="E671" s="23"/>
      <c r="F671" s="23"/>
      <c r="G671" s="23"/>
      <c r="H671" s="54"/>
      <c r="I671" s="262"/>
      <c r="J671" s="55" t="s">
        <v>1124</v>
      </c>
      <c r="K671" s="24" t="s">
        <v>57</v>
      </c>
      <c r="L671" s="94">
        <v>17000</v>
      </c>
      <c r="M671" s="114">
        <v>24774</v>
      </c>
      <c r="N671" s="25"/>
      <c r="O671" s="25"/>
      <c r="P671" s="25"/>
      <c r="Q671" s="25"/>
      <c r="R671" s="49" t="s">
        <v>1125</v>
      </c>
      <c r="S671" s="53" t="s">
        <v>1653</v>
      </c>
    </row>
    <row r="672" spans="1:19" ht="64.5" thickBot="1" x14ac:dyDescent="0.3">
      <c r="A672" s="307"/>
      <c r="B672" s="309"/>
      <c r="C672" s="22"/>
      <c r="D672" s="23"/>
      <c r="E672" s="23"/>
      <c r="F672" s="23"/>
      <c r="G672" s="23"/>
      <c r="H672" s="23"/>
      <c r="I672" s="279"/>
      <c r="J672" s="49" t="s">
        <v>1126</v>
      </c>
      <c r="K672" s="24" t="s">
        <v>57</v>
      </c>
      <c r="L672" s="24">
        <v>65</v>
      </c>
      <c r="M672" s="110">
        <v>153</v>
      </c>
      <c r="N672" s="25"/>
      <c r="O672" s="25"/>
      <c r="P672" s="25"/>
      <c r="Q672" s="25"/>
      <c r="R672" s="49" t="s">
        <v>1127</v>
      </c>
      <c r="S672" s="53" t="s">
        <v>1654</v>
      </c>
    </row>
    <row r="673" spans="1:19" ht="23.25" customHeight="1" x14ac:dyDescent="0.25">
      <c r="A673" s="306" t="s">
        <v>1128</v>
      </c>
      <c r="B673" s="308" t="s">
        <v>1129</v>
      </c>
      <c r="C673" s="17" t="s">
        <v>697</v>
      </c>
      <c r="D673" s="18">
        <f>SUM(D674:D676)+150.7</f>
        <v>150.69999999999999</v>
      </c>
      <c r="E673" s="18">
        <f>SUM(E674:E676)+150.7</f>
        <v>150.69999999999999</v>
      </c>
      <c r="F673" s="18">
        <f>SUM(F674:F676)+150.7</f>
        <v>150.69999999999999</v>
      </c>
      <c r="G673" s="18"/>
      <c r="H673" s="18"/>
      <c r="I673" s="261">
        <f t="shared" si="47"/>
        <v>1</v>
      </c>
      <c r="J673" s="48" t="s">
        <v>1130</v>
      </c>
      <c r="K673" s="19" t="s">
        <v>57</v>
      </c>
      <c r="L673" s="19">
        <v>10</v>
      </c>
      <c r="M673" s="108">
        <v>20</v>
      </c>
      <c r="N673" s="20"/>
      <c r="O673" s="20"/>
      <c r="P673" s="20" t="s">
        <v>23</v>
      </c>
      <c r="Q673" s="20" t="s">
        <v>23</v>
      </c>
      <c r="R673" s="48" t="s">
        <v>1131</v>
      </c>
      <c r="S673" s="52"/>
    </row>
    <row r="674" spans="1:19" ht="53.25" customHeight="1" x14ac:dyDescent="0.25">
      <c r="A674" s="406"/>
      <c r="B674" s="310"/>
      <c r="C674" s="22"/>
      <c r="D674" s="23"/>
      <c r="E674" s="23"/>
      <c r="F674" s="23"/>
      <c r="G674" s="23"/>
      <c r="H674" s="54"/>
      <c r="I674" s="262"/>
      <c r="J674" s="55" t="s">
        <v>1132</v>
      </c>
      <c r="K674" s="24" t="s">
        <v>22</v>
      </c>
      <c r="L674" s="94">
        <v>2821</v>
      </c>
      <c r="M674" s="114">
        <v>3482</v>
      </c>
      <c r="N674" s="25" t="s">
        <v>23</v>
      </c>
      <c r="O674" s="25" t="s">
        <v>23</v>
      </c>
      <c r="P674" s="25" t="s">
        <v>23</v>
      </c>
      <c r="Q674" s="25" t="s">
        <v>23</v>
      </c>
      <c r="R674" s="49" t="s">
        <v>1133</v>
      </c>
      <c r="S674" s="53" t="s">
        <v>1655</v>
      </c>
    </row>
    <row r="675" spans="1:19" ht="25.5" x14ac:dyDescent="0.25">
      <c r="A675" s="406"/>
      <c r="B675" s="310"/>
      <c r="C675" s="22"/>
      <c r="D675" s="23"/>
      <c r="E675" s="23"/>
      <c r="F675" s="23"/>
      <c r="G675" s="23"/>
      <c r="H675" s="23"/>
      <c r="I675" s="283"/>
      <c r="J675" s="49" t="s">
        <v>1134</v>
      </c>
      <c r="K675" s="24" t="s">
        <v>22</v>
      </c>
      <c r="L675" s="24">
        <v>270</v>
      </c>
      <c r="M675" s="110">
        <v>419</v>
      </c>
      <c r="N675" s="25" t="s">
        <v>23</v>
      </c>
      <c r="O675" s="25" t="s">
        <v>23</v>
      </c>
      <c r="P675" s="25" t="s">
        <v>23</v>
      </c>
      <c r="Q675" s="25" t="s">
        <v>23</v>
      </c>
      <c r="R675" s="49" t="s">
        <v>1135</v>
      </c>
      <c r="S675" s="53" t="s">
        <v>1656</v>
      </c>
    </row>
    <row r="676" spans="1:19" ht="39" thickBot="1" x14ac:dyDescent="0.3">
      <c r="A676" s="307"/>
      <c r="B676" s="309"/>
      <c r="C676" s="22"/>
      <c r="D676" s="23"/>
      <c r="E676" s="23"/>
      <c r="F676" s="23"/>
      <c r="G676" s="23"/>
      <c r="H676" s="23"/>
      <c r="I676" s="269"/>
      <c r="J676" s="49" t="s">
        <v>1136</v>
      </c>
      <c r="K676" s="24" t="s">
        <v>22</v>
      </c>
      <c r="L676" s="24">
        <v>29</v>
      </c>
      <c r="M676" s="104">
        <v>29</v>
      </c>
      <c r="N676" s="25"/>
      <c r="O676" s="25"/>
      <c r="P676" s="25"/>
      <c r="Q676" s="25"/>
      <c r="R676" s="49" t="s">
        <v>1137</v>
      </c>
      <c r="S676" s="53"/>
    </row>
    <row r="677" spans="1:19" ht="39" thickBot="1" x14ac:dyDescent="0.3">
      <c r="A677" s="13" t="s">
        <v>1138</v>
      </c>
      <c r="B677" s="41" t="s">
        <v>1139</v>
      </c>
      <c r="C677" s="14"/>
      <c r="D677" s="15">
        <f>D678+D681+D682+D684</f>
        <v>552.4</v>
      </c>
      <c r="E677" s="15">
        <f>E678+E681+E682+E684</f>
        <v>552.4</v>
      </c>
      <c r="F677" s="15">
        <f>F678+F681+F682+F684</f>
        <v>517.5</v>
      </c>
      <c r="G677" s="15">
        <f>G678+G681+G682+G684</f>
        <v>34.9</v>
      </c>
      <c r="H677" s="15">
        <f>H678+H681+H682+H684</f>
        <v>34.9</v>
      </c>
      <c r="I677" s="260">
        <f>SUM(F677/E677)</f>
        <v>0.93682114409847939</v>
      </c>
      <c r="J677" s="329"/>
      <c r="K677" s="330"/>
      <c r="L677" s="330"/>
      <c r="M677" s="330"/>
      <c r="N677" s="330"/>
      <c r="O677" s="330"/>
      <c r="P677" s="330"/>
      <c r="Q677" s="330"/>
      <c r="R677" s="330"/>
      <c r="S677" s="331"/>
    </row>
    <row r="678" spans="1:19" ht="63" customHeight="1" x14ac:dyDescent="0.25">
      <c r="A678" s="306" t="s">
        <v>1140</v>
      </c>
      <c r="B678" s="308" t="s">
        <v>1141</v>
      </c>
      <c r="C678" s="17"/>
      <c r="D678" s="18">
        <f>SUM(D679:D680)</f>
        <v>2.9</v>
      </c>
      <c r="E678" s="18">
        <f>SUM(E679:E680)</f>
        <v>2.9</v>
      </c>
      <c r="F678" s="18">
        <f>SUM(F679:F680)</f>
        <v>2.4</v>
      </c>
      <c r="G678" s="18">
        <f>SUM(G679:G680)</f>
        <v>0.5</v>
      </c>
      <c r="H678" s="18">
        <f>SUM(H679:H680)</f>
        <v>0.5</v>
      </c>
      <c r="I678" s="261">
        <f t="shared" ref="I678:I682" si="48">SUM(F678/E678)</f>
        <v>0.82758620689655171</v>
      </c>
      <c r="J678" s="314" t="s">
        <v>1142</v>
      </c>
      <c r="K678" s="323" t="s">
        <v>57</v>
      </c>
      <c r="L678" s="323">
        <v>15</v>
      </c>
      <c r="M678" s="346">
        <v>19</v>
      </c>
      <c r="N678" s="20"/>
      <c r="O678" s="20"/>
      <c r="P678" s="20"/>
      <c r="Q678" s="20"/>
      <c r="R678" s="297"/>
      <c r="S678" s="317"/>
    </row>
    <row r="679" spans="1:19" x14ac:dyDescent="0.25">
      <c r="A679" s="406"/>
      <c r="B679" s="310"/>
      <c r="C679" s="22" t="s">
        <v>30</v>
      </c>
      <c r="D679" s="23">
        <v>0.9</v>
      </c>
      <c r="E679" s="23">
        <v>0.9</v>
      </c>
      <c r="F679" s="23">
        <v>0.7</v>
      </c>
      <c r="G679" s="23">
        <v>0.2</v>
      </c>
      <c r="H679" s="54">
        <v>0.2</v>
      </c>
      <c r="I679" s="262">
        <f t="shared" si="48"/>
        <v>0.77777777777777768</v>
      </c>
      <c r="J679" s="315"/>
      <c r="K679" s="324"/>
      <c r="L679" s="324"/>
      <c r="M679" s="336"/>
      <c r="N679" s="25"/>
      <c r="O679" s="25"/>
      <c r="P679" s="25"/>
      <c r="Q679" s="25"/>
      <c r="R679" s="298"/>
      <c r="S679" s="318"/>
    </row>
    <row r="680" spans="1:19" ht="15.75" thickBot="1" x14ac:dyDescent="0.3">
      <c r="A680" s="307"/>
      <c r="B680" s="309"/>
      <c r="C680" s="22" t="s">
        <v>32</v>
      </c>
      <c r="D680" s="23">
        <v>2</v>
      </c>
      <c r="E680" s="23">
        <v>2</v>
      </c>
      <c r="F680" s="23">
        <v>1.7</v>
      </c>
      <c r="G680" s="23">
        <v>0.3</v>
      </c>
      <c r="H680" s="23">
        <v>0.3</v>
      </c>
      <c r="I680" s="279">
        <f t="shared" si="48"/>
        <v>0.85</v>
      </c>
      <c r="J680" s="316"/>
      <c r="K680" s="325"/>
      <c r="L680" s="325"/>
      <c r="M680" s="337"/>
      <c r="N680" s="25"/>
      <c r="O680" s="25"/>
      <c r="P680" s="25"/>
      <c r="Q680" s="25"/>
      <c r="R680" s="299"/>
      <c r="S680" s="319"/>
    </row>
    <row r="681" spans="1:19" ht="81" customHeight="1" thickBot="1" x14ac:dyDescent="0.3">
      <c r="A681" s="68" t="s">
        <v>1143</v>
      </c>
      <c r="B681" s="48" t="s">
        <v>1144</v>
      </c>
      <c r="C681" s="17" t="s">
        <v>32</v>
      </c>
      <c r="D681" s="26">
        <v>15</v>
      </c>
      <c r="E681" s="26">
        <v>15</v>
      </c>
      <c r="F681" s="26">
        <v>15</v>
      </c>
      <c r="G681" s="26"/>
      <c r="H681" s="26"/>
      <c r="I681" s="264">
        <f t="shared" si="48"/>
        <v>1</v>
      </c>
      <c r="J681" s="48" t="s">
        <v>1145</v>
      </c>
      <c r="K681" s="19" t="s">
        <v>57</v>
      </c>
      <c r="L681" s="19">
        <v>800</v>
      </c>
      <c r="M681" s="108">
        <v>808</v>
      </c>
      <c r="N681" s="20"/>
      <c r="O681" s="20"/>
      <c r="P681" s="20"/>
      <c r="Q681" s="20"/>
      <c r="R681" s="48" t="s">
        <v>1146</v>
      </c>
      <c r="S681" s="52"/>
    </row>
    <row r="682" spans="1:19" ht="38.25" x14ac:dyDescent="0.25">
      <c r="A682" s="306" t="s">
        <v>1147</v>
      </c>
      <c r="B682" s="308" t="s">
        <v>1148</v>
      </c>
      <c r="C682" s="17" t="s">
        <v>32</v>
      </c>
      <c r="D682" s="18">
        <f>SUM(D683:D683)+342</f>
        <v>342</v>
      </c>
      <c r="E682" s="18">
        <f>SUM(E683:E683)+342</f>
        <v>342</v>
      </c>
      <c r="F682" s="18">
        <f>SUM(F683:F683)+320</f>
        <v>320</v>
      </c>
      <c r="G682" s="18">
        <f>SUM(G683:G683)+22</f>
        <v>22</v>
      </c>
      <c r="H682" s="18">
        <f>SUM(H683:H683)+22</f>
        <v>22</v>
      </c>
      <c r="I682" s="264">
        <f t="shared" si="48"/>
        <v>0.93567251461988299</v>
      </c>
      <c r="J682" s="48" t="s">
        <v>1149</v>
      </c>
      <c r="K682" s="19" t="s">
        <v>57</v>
      </c>
      <c r="L682" s="19">
        <v>14</v>
      </c>
      <c r="M682" s="108">
        <v>16</v>
      </c>
      <c r="N682" s="20"/>
      <c r="O682" s="20"/>
      <c r="P682" s="20"/>
      <c r="Q682" s="20"/>
      <c r="R682" s="48" t="s">
        <v>1150</v>
      </c>
      <c r="S682" s="294"/>
    </row>
    <row r="683" spans="1:19" ht="69.75" customHeight="1" thickBot="1" x14ac:dyDescent="0.3">
      <c r="A683" s="307"/>
      <c r="B683" s="309"/>
      <c r="C683" s="22"/>
      <c r="D683" s="23"/>
      <c r="E683" s="23"/>
      <c r="F683" s="23"/>
      <c r="G683" s="23"/>
      <c r="H683" s="23"/>
      <c r="I683" s="269"/>
      <c r="J683" s="49" t="s">
        <v>1151</v>
      </c>
      <c r="K683" s="24" t="s">
        <v>57</v>
      </c>
      <c r="L683" s="24">
        <v>8</v>
      </c>
      <c r="M683" s="110">
        <v>16</v>
      </c>
      <c r="N683" s="25"/>
      <c r="O683" s="25"/>
      <c r="P683" s="25"/>
      <c r="Q683" s="25"/>
      <c r="R683" s="49" t="s">
        <v>1152</v>
      </c>
      <c r="S683" s="296"/>
    </row>
    <row r="684" spans="1:19" ht="39" thickBot="1" x14ac:dyDescent="0.3">
      <c r="A684" s="16" t="s">
        <v>1153</v>
      </c>
      <c r="B684" s="42" t="s">
        <v>1154</v>
      </c>
      <c r="C684" s="17"/>
      <c r="D684" s="18">
        <f>D685+D688+D691+D693+D694</f>
        <v>192.5</v>
      </c>
      <c r="E684" s="18">
        <f>E685+E688+E691+E693+E694</f>
        <v>192.5</v>
      </c>
      <c r="F684" s="18">
        <f>F685+F688+F691+F693+F694-0.1</f>
        <v>180.1</v>
      </c>
      <c r="G684" s="18">
        <f>G685+G688+G691+G693+G694+0.1</f>
        <v>12.4</v>
      </c>
      <c r="H684" s="18">
        <f>H685+H688+H691+H693+H694+0.1</f>
        <v>12.4</v>
      </c>
      <c r="I684" s="264">
        <f t="shared" ref="I684:I690" si="49">SUM(F684/E684)</f>
        <v>0.93558441558441552</v>
      </c>
      <c r="J684" s="48" t="s">
        <v>1155</v>
      </c>
      <c r="K684" s="19" t="s">
        <v>29</v>
      </c>
      <c r="L684" s="19">
        <v>100</v>
      </c>
      <c r="M684" s="111">
        <v>100</v>
      </c>
      <c r="N684" s="20"/>
      <c r="O684" s="20"/>
      <c r="P684" s="20"/>
      <c r="Q684" s="20"/>
      <c r="R684" s="147"/>
      <c r="S684" s="52"/>
    </row>
    <row r="685" spans="1:19" ht="52.5" customHeight="1" x14ac:dyDescent="0.25">
      <c r="A685" s="306" t="s">
        <v>1156</v>
      </c>
      <c r="B685" s="308" t="s">
        <v>1157</v>
      </c>
      <c r="C685" s="17"/>
      <c r="D685" s="18">
        <f>SUM(D686:D687)</f>
        <v>112.5</v>
      </c>
      <c r="E685" s="18">
        <f>SUM(E686:E687)</f>
        <v>112.5</v>
      </c>
      <c r="F685" s="18">
        <f>SUM(F686:F687)</f>
        <v>112</v>
      </c>
      <c r="G685" s="18">
        <f>SUM(G686:G687)</f>
        <v>0.5</v>
      </c>
      <c r="H685" s="18">
        <f>SUM(H686:H687)</f>
        <v>0.5</v>
      </c>
      <c r="I685" s="261">
        <f t="shared" si="49"/>
        <v>0.99555555555555553</v>
      </c>
      <c r="J685" s="314" t="s">
        <v>1158</v>
      </c>
      <c r="K685" s="323" t="s">
        <v>57</v>
      </c>
      <c r="L685" s="340">
        <v>7000</v>
      </c>
      <c r="M685" s="357">
        <v>10252</v>
      </c>
      <c r="N685" s="20"/>
      <c r="O685" s="20"/>
      <c r="P685" s="20"/>
      <c r="Q685" s="20"/>
      <c r="R685" s="360" t="s">
        <v>1893</v>
      </c>
      <c r="S685" s="326" t="s">
        <v>1894</v>
      </c>
    </row>
    <row r="686" spans="1:19" x14ac:dyDescent="0.25">
      <c r="A686" s="406"/>
      <c r="B686" s="310"/>
      <c r="C686" s="22" t="s">
        <v>289</v>
      </c>
      <c r="D686" s="23">
        <v>32.5</v>
      </c>
      <c r="E686" s="23">
        <v>32.5</v>
      </c>
      <c r="F686" s="23">
        <v>32.5</v>
      </c>
      <c r="G686" s="23"/>
      <c r="H686" s="54"/>
      <c r="I686" s="262">
        <f t="shared" si="49"/>
        <v>1</v>
      </c>
      <c r="J686" s="315"/>
      <c r="K686" s="324"/>
      <c r="L686" s="341"/>
      <c r="M686" s="358"/>
      <c r="N686" s="25"/>
      <c r="O686" s="25"/>
      <c r="P686" s="25"/>
      <c r="Q686" s="25"/>
      <c r="R686" s="361"/>
      <c r="S686" s="332"/>
    </row>
    <row r="687" spans="1:19" ht="15.75" thickBot="1" x14ac:dyDescent="0.3">
      <c r="A687" s="307"/>
      <c r="B687" s="309"/>
      <c r="C687" s="22" t="s">
        <v>271</v>
      </c>
      <c r="D687" s="23">
        <v>80</v>
      </c>
      <c r="E687" s="23">
        <v>80</v>
      </c>
      <c r="F687" s="23">
        <v>79.5</v>
      </c>
      <c r="G687" s="23">
        <v>0.5</v>
      </c>
      <c r="H687" s="23">
        <v>0.5</v>
      </c>
      <c r="I687" s="279">
        <f t="shared" si="49"/>
        <v>0.99375000000000002</v>
      </c>
      <c r="J687" s="316"/>
      <c r="K687" s="325"/>
      <c r="L687" s="342"/>
      <c r="M687" s="359"/>
      <c r="N687" s="25"/>
      <c r="O687" s="25"/>
      <c r="P687" s="25"/>
      <c r="Q687" s="25"/>
      <c r="R687" s="362"/>
      <c r="S687" s="327"/>
    </row>
    <row r="688" spans="1:19" ht="37.5" customHeight="1" x14ac:dyDescent="0.25">
      <c r="A688" s="306" t="s">
        <v>1159</v>
      </c>
      <c r="B688" s="308" t="s">
        <v>1160</v>
      </c>
      <c r="C688" s="17"/>
      <c r="D688" s="18">
        <f>SUM(D689:D690)</f>
        <v>21.4</v>
      </c>
      <c r="E688" s="18">
        <f>SUM(E689:E690)</f>
        <v>21.4</v>
      </c>
      <c r="F688" s="18">
        <f>SUM(F689:F690)</f>
        <v>14.5</v>
      </c>
      <c r="G688" s="18">
        <f>SUM(G689:G690)</f>
        <v>6.9</v>
      </c>
      <c r="H688" s="18">
        <f>SUM(H689:H690)</f>
        <v>6.9</v>
      </c>
      <c r="I688" s="261">
        <f t="shared" si="49"/>
        <v>0.67757009345794394</v>
      </c>
      <c r="J688" s="314" t="s">
        <v>1161</v>
      </c>
      <c r="K688" s="323" t="s">
        <v>57</v>
      </c>
      <c r="L688" s="323">
        <v>4</v>
      </c>
      <c r="M688" s="347">
        <v>4</v>
      </c>
      <c r="N688" s="20"/>
      <c r="O688" s="20"/>
      <c r="P688" s="20"/>
      <c r="Q688" s="20"/>
      <c r="R688" s="320"/>
      <c r="S688" s="317"/>
    </row>
    <row r="689" spans="1:23" x14ac:dyDescent="0.25">
      <c r="A689" s="406"/>
      <c r="B689" s="310"/>
      <c r="C689" s="22" t="s">
        <v>271</v>
      </c>
      <c r="D689" s="23">
        <v>10</v>
      </c>
      <c r="E689" s="23">
        <v>10</v>
      </c>
      <c r="F689" s="23">
        <v>10</v>
      </c>
      <c r="G689" s="23"/>
      <c r="H689" s="54"/>
      <c r="I689" s="262">
        <f t="shared" si="49"/>
        <v>1</v>
      </c>
      <c r="J689" s="315"/>
      <c r="K689" s="324"/>
      <c r="L689" s="324"/>
      <c r="M689" s="348"/>
      <c r="N689" s="25"/>
      <c r="O689" s="25"/>
      <c r="P689" s="25"/>
      <c r="Q689" s="25"/>
      <c r="R689" s="321"/>
      <c r="S689" s="318"/>
    </row>
    <row r="690" spans="1:23" ht="15.75" thickBot="1" x14ac:dyDescent="0.3">
      <c r="A690" s="307"/>
      <c r="B690" s="309"/>
      <c r="C690" s="22" t="s">
        <v>32</v>
      </c>
      <c r="D690" s="23">
        <v>11.4</v>
      </c>
      <c r="E690" s="23">
        <v>11.4</v>
      </c>
      <c r="F690" s="23">
        <v>4.5</v>
      </c>
      <c r="G690" s="23">
        <v>6.9</v>
      </c>
      <c r="H690" s="23">
        <v>6.9</v>
      </c>
      <c r="I690" s="279">
        <f t="shared" si="49"/>
        <v>0.39473684210526316</v>
      </c>
      <c r="J690" s="316"/>
      <c r="K690" s="325"/>
      <c r="L690" s="325"/>
      <c r="M690" s="349"/>
      <c r="N690" s="25"/>
      <c r="O690" s="25"/>
      <c r="P690" s="25"/>
      <c r="Q690" s="25"/>
      <c r="R690" s="322"/>
      <c r="S690" s="319"/>
    </row>
    <row r="691" spans="1:23" ht="25.5" x14ac:dyDescent="0.25">
      <c r="A691" s="306" t="s">
        <v>1162</v>
      </c>
      <c r="B691" s="308" t="s">
        <v>1163</v>
      </c>
      <c r="C691" s="17"/>
      <c r="D691" s="18"/>
      <c r="E691" s="18"/>
      <c r="F691" s="18"/>
      <c r="G691" s="18"/>
      <c r="H691" s="18"/>
      <c r="I691" s="267"/>
      <c r="J691" s="48" t="s">
        <v>1164</v>
      </c>
      <c r="K691" s="19" t="s">
        <v>57</v>
      </c>
      <c r="L691" s="19">
        <v>2</v>
      </c>
      <c r="M691" s="111">
        <v>2</v>
      </c>
      <c r="N691" s="20"/>
      <c r="O691" s="20"/>
      <c r="P691" s="20"/>
      <c r="Q691" s="20"/>
      <c r="R691" s="157"/>
      <c r="S691" s="52"/>
    </row>
    <row r="692" spans="1:23" ht="39" thickBot="1" x14ac:dyDescent="0.3">
      <c r="A692" s="307"/>
      <c r="B692" s="309"/>
      <c r="C692" s="22"/>
      <c r="D692" s="23"/>
      <c r="E692" s="23"/>
      <c r="F692" s="23"/>
      <c r="G692" s="23"/>
      <c r="H692" s="23"/>
      <c r="I692" s="269"/>
      <c r="J692" s="49" t="s">
        <v>1165</v>
      </c>
      <c r="K692" s="24" t="s">
        <v>57</v>
      </c>
      <c r="L692" s="24">
        <v>50</v>
      </c>
      <c r="M692" s="110">
        <v>59</v>
      </c>
      <c r="N692" s="25"/>
      <c r="O692" s="25"/>
      <c r="P692" s="25"/>
      <c r="Q692" s="25"/>
      <c r="R692" s="85" t="s">
        <v>1895</v>
      </c>
      <c r="S692" s="53" t="s">
        <v>1657</v>
      </c>
    </row>
    <row r="693" spans="1:23" ht="39" thickBot="1" x14ac:dyDescent="0.3">
      <c r="A693" s="68" t="s">
        <v>1166</v>
      </c>
      <c r="B693" s="48" t="s">
        <v>1167</v>
      </c>
      <c r="C693" s="17" t="s">
        <v>32</v>
      </c>
      <c r="D693" s="26">
        <v>3.6</v>
      </c>
      <c r="E693" s="26">
        <v>3.6</v>
      </c>
      <c r="F693" s="26">
        <v>3.5</v>
      </c>
      <c r="G693" s="26">
        <v>0.1</v>
      </c>
      <c r="H693" s="26">
        <v>0.1</v>
      </c>
      <c r="I693" s="264">
        <f t="shared" ref="I693:I695" si="50">SUM(F693/E693)</f>
        <v>0.97222222222222221</v>
      </c>
      <c r="J693" s="48" t="s">
        <v>1168</v>
      </c>
      <c r="K693" s="19" t="s">
        <v>57</v>
      </c>
      <c r="L693" s="19">
        <v>2</v>
      </c>
      <c r="M693" s="111">
        <v>2</v>
      </c>
      <c r="N693" s="20"/>
      <c r="O693" s="20"/>
      <c r="P693" s="20"/>
      <c r="Q693" s="20"/>
      <c r="R693" s="48" t="s">
        <v>1169</v>
      </c>
      <c r="S693" s="120"/>
    </row>
    <row r="694" spans="1:23" ht="42" customHeight="1" x14ac:dyDescent="0.25">
      <c r="A694" s="306" t="s">
        <v>1170</v>
      </c>
      <c r="B694" s="308" t="s">
        <v>1171</v>
      </c>
      <c r="C694" s="17"/>
      <c r="D694" s="18">
        <f>SUM(D695:D697)</f>
        <v>55</v>
      </c>
      <c r="E694" s="18">
        <f>SUM(E695:E697)</f>
        <v>55</v>
      </c>
      <c r="F694" s="18">
        <f>SUM(F695:F697)</f>
        <v>50.2</v>
      </c>
      <c r="G694" s="18">
        <f>SUM(G695:G697)</f>
        <v>4.8</v>
      </c>
      <c r="H694" s="18">
        <f>SUM(H695:H697)</f>
        <v>4.8</v>
      </c>
      <c r="I694" s="261">
        <f t="shared" si="50"/>
        <v>0.91272727272727283</v>
      </c>
      <c r="J694" s="48" t="s">
        <v>1172</v>
      </c>
      <c r="K694" s="19" t="s">
        <v>57</v>
      </c>
      <c r="L694" s="19">
        <v>2</v>
      </c>
      <c r="M694" s="106">
        <v>0</v>
      </c>
      <c r="N694" s="20"/>
      <c r="O694" s="20"/>
      <c r="P694" s="20"/>
      <c r="Q694" s="20"/>
      <c r="R694" s="48"/>
      <c r="S694" s="69" t="s">
        <v>1706</v>
      </c>
    </row>
    <row r="695" spans="1:23" ht="25.5" x14ac:dyDescent="0.25">
      <c r="A695" s="406"/>
      <c r="B695" s="310"/>
      <c r="C695" s="22" t="s">
        <v>32</v>
      </c>
      <c r="D695" s="23">
        <v>55</v>
      </c>
      <c r="E695" s="23">
        <v>55</v>
      </c>
      <c r="F695" s="23">
        <v>50.2</v>
      </c>
      <c r="G695" s="23">
        <v>4.8</v>
      </c>
      <c r="H695" s="54">
        <v>4.8</v>
      </c>
      <c r="I695" s="262">
        <f t="shared" si="50"/>
        <v>0.91272727272727283</v>
      </c>
      <c r="J695" s="55" t="s">
        <v>1173</v>
      </c>
      <c r="K695" s="24" t="s">
        <v>57</v>
      </c>
      <c r="L695" s="24">
        <v>4</v>
      </c>
      <c r="M695" s="105">
        <v>1</v>
      </c>
      <c r="N695" s="25"/>
      <c r="O695" s="25"/>
      <c r="P695" s="25"/>
      <c r="Q695" s="25"/>
      <c r="R695" s="71" t="s">
        <v>1174</v>
      </c>
      <c r="S695" s="73" t="s">
        <v>1706</v>
      </c>
    </row>
    <row r="696" spans="1:23" ht="25.5" x14ac:dyDescent="0.25">
      <c r="A696" s="406"/>
      <c r="B696" s="310"/>
      <c r="C696" s="22"/>
      <c r="D696" s="23"/>
      <c r="E696" s="23"/>
      <c r="F696" s="23"/>
      <c r="G696" s="23"/>
      <c r="H696" s="23"/>
      <c r="I696" s="283"/>
      <c r="J696" s="49" t="s">
        <v>1175</v>
      </c>
      <c r="K696" s="24" t="s">
        <v>57</v>
      </c>
      <c r="L696" s="24">
        <v>22</v>
      </c>
      <c r="M696" s="103">
        <v>0</v>
      </c>
      <c r="N696" s="25"/>
      <c r="O696" s="25"/>
      <c r="P696" s="25"/>
      <c r="Q696" s="25"/>
      <c r="R696" s="49" t="s">
        <v>1176</v>
      </c>
      <c r="S696" s="72" t="s">
        <v>1706</v>
      </c>
    </row>
    <row r="697" spans="1:23" ht="51.75" thickBot="1" x14ac:dyDescent="0.3">
      <c r="A697" s="307"/>
      <c r="B697" s="309"/>
      <c r="C697" s="22"/>
      <c r="D697" s="23"/>
      <c r="E697" s="23"/>
      <c r="F697" s="23"/>
      <c r="G697" s="23"/>
      <c r="H697" s="23"/>
      <c r="I697" s="269"/>
      <c r="J697" s="49" t="s">
        <v>1177</v>
      </c>
      <c r="K697" s="24" t="s">
        <v>57</v>
      </c>
      <c r="L697" s="94">
        <v>3000</v>
      </c>
      <c r="M697" s="114">
        <v>3805</v>
      </c>
      <c r="N697" s="25"/>
      <c r="O697" s="25"/>
      <c r="P697" s="25"/>
      <c r="Q697" s="25"/>
      <c r="R697" s="49" t="s">
        <v>1178</v>
      </c>
      <c r="S697" s="53"/>
    </row>
    <row r="698" spans="1:23" ht="32.25" thickBot="1" x14ac:dyDescent="0.3">
      <c r="A698" s="5" t="s">
        <v>1179</v>
      </c>
      <c r="B698" s="39" t="s">
        <v>1180</v>
      </c>
      <c r="C698" s="6"/>
      <c r="D698" s="7">
        <f>SUM(D699:D699)</f>
        <v>70641</v>
      </c>
      <c r="E698" s="7">
        <f>SUM(E699:E699)</f>
        <v>70641</v>
      </c>
      <c r="F698" s="7">
        <f>SUM(F699:F699)</f>
        <v>67574.700000000012</v>
      </c>
      <c r="G698" s="7">
        <f>SUM(G699:G699)</f>
        <v>3066.3</v>
      </c>
      <c r="H698" s="7">
        <f>SUM(H699:H699)</f>
        <v>3066.3</v>
      </c>
      <c r="I698" s="258">
        <f>SUM(F698/E698)</f>
        <v>0.95659319658555242</v>
      </c>
      <c r="J698" s="452"/>
      <c r="K698" s="453"/>
      <c r="L698" s="453"/>
      <c r="M698" s="453"/>
      <c r="N698" s="453"/>
      <c r="O698" s="453"/>
      <c r="P698" s="453"/>
      <c r="Q698" s="453"/>
      <c r="R698" s="453"/>
      <c r="S698" s="454"/>
      <c r="U698" s="240"/>
      <c r="V698" s="241" t="s">
        <v>1</v>
      </c>
      <c r="W698" s="251" t="s">
        <v>1944</v>
      </c>
    </row>
    <row r="699" spans="1:23" ht="51.75" customHeight="1" x14ac:dyDescent="0.25">
      <c r="A699" s="458" t="s">
        <v>1181</v>
      </c>
      <c r="B699" s="449" t="s">
        <v>1182</v>
      </c>
      <c r="C699" s="9"/>
      <c r="D699" s="10">
        <f>D700+D701+D702+D754+D767-0.1</f>
        <v>70641</v>
      </c>
      <c r="E699" s="10">
        <f>E700+E701+E702+E754+E767-0.1</f>
        <v>70641</v>
      </c>
      <c r="F699" s="10">
        <f>F700+F701+F702+F754+F767</f>
        <v>67574.700000000012</v>
      </c>
      <c r="G699" s="10">
        <f>G700+G701+G702+G754+G767</f>
        <v>3066.3</v>
      </c>
      <c r="H699" s="10">
        <f>H700+H701+H702+H754+H767</f>
        <v>3066.3</v>
      </c>
      <c r="I699" s="259">
        <f>SUM(F699/E699)</f>
        <v>0.95659319658555242</v>
      </c>
      <c r="J699" s="47" t="s">
        <v>1183</v>
      </c>
      <c r="K699" s="11" t="s">
        <v>29</v>
      </c>
      <c r="L699" s="11">
        <v>20.9</v>
      </c>
      <c r="M699" s="11">
        <v>32.299999999999997</v>
      </c>
      <c r="N699" s="12"/>
      <c r="O699" s="12"/>
      <c r="P699" s="12"/>
      <c r="Q699" s="12"/>
      <c r="R699" s="400"/>
      <c r="S699" s="401"/>
      <c r="U699" s="242"/>
      <c r="V699" s="243" t="s">
        <v>1930</v>
      </c>
      <c r="W699" s="244">
        <v>11</v>
      </c>
    </row>
    <row r="700" spans="1:23" ht="63.75" x14ac:dyDescent="0.25">
      <c r="A700" s="459"/>
      <c r="B700" s="450"/>
      <c r="C700" s="65"/>
      <c r="D700" s="66"/>
      <c r="E700" s="66"/>
      <c r="F700" s="66"/>
      <c r="G700" s="66"/>
      <c r="H700" s="66"/>
      <c r="I700" s="280"/>
      <c r="J700" s="64" t="s">
        <v>1184</v>
      </c>
      <c r="K700" s="62" t="s">
        <v>29</v>
      </c>
      <c r="L700" s="62">
        <v>39.200000000000003</v>
      </c>
      <c r="M700" s="62">
        <v>45.1</v>
      </c>
      <c r="N700" s="63"/>
      <c r="O700" s="63"/>
      <c r="P700" s="63"/>
      <c r="Q700" s="63"/>
      <c r="R700" s="404"/>
      <c r="S700" s="405"/>
      <c r="U700" s="249"/>
      <c r="V700" s="243" t="s">
        <v>1931</v>
      </c>
      <c r="W700" s="244"/>
    </row>
    <row r="701" spans="1:23" ht="77.25" thickBot="1" x14ac:dyDescent="0.3">
      <c r="A701" s="460"/>
      <c r="B701" s="451"/>
      <c r="C701" s="65"/>
      <c r="D701" s="66"/>
      <c r="E701" s="66"/>
      <c r="F701" s="66"/>
      <c r="G701" s="66"/>
      <c r="H701" s="66"/>
      <c r="I701" s="280"/>
      <c r="J701" s="64" t="s">
        <v>1185</v>
      </c>
      <c r="K701" s="62" t="s">
        <v>29</v>
      </c>
      <c r="L701" s="62">
        <v>18.399999999999999</v>
      </c>
      <c r="M701" s="62">
        <v>17.600000000000001</v>
      </c>
      <c r="N701" s="63"/>
      <c r="O701" s="63"/>
      <c r="P701" s="63"/>
      <c r="Q701" s="63"/>
      <c r="R701" s="402"/>
      <c r="S701" s="403"/>
      <c r="U701" s="245"/>
      <c r="V701" s="243" t="s">
        <v>1932</v>
      </c>
      <c r="W701" s="246">
        <v>7</v>
      </c>
    </row>
    <row r="702" spans="1:23" ht="39" thickBot="1" x14ac:dyDescent="0.3">
      <c r="A702" s="13" t="s">
        <v>1186</v>
      </c>
      <c r="B702" s="41" t="s">
        <v>1187</v>
      </c>
      <c r="C702" s="14"/>
      <c r="D702" s="15">
        <f>D703+D709+D710+D714+D719+D728+D731+D734+D737+D739+D742+D743+D747+D750</f>
        <v>20294.2</v>
      </c>
      <c r="E702" s="15">
        <f>E703+E709+E710+E714+E719+E728+E731+E734+E737+E739+E742+E743+E747+E750</f>
        <v>20294.2</v>
      </c>
      <c r="F702" s="15">
        <f>F703+F709+F710+F714+F719+F728+F731+F734+F737+F739+F742+F743+F747+F750</f>
        <v>18925.900000000005</v>
      </c>
      <c r="G702" s="15">
        <f>G703+G709+G710+G714+G719+G728+G731+G734+G737+G739+G742+G743+G747+G750</f>
        <v>1368.2</v>
      </c>
      <c r="H702" s="15">
        <f>H703+H709+H710+H714+H719+H728+H731+H734+H737+H739+H742+H743+H747+H750</f>
        <v>1368.2</v>
      </c>
      <c r="I702" s="260">
        <f>SUM(F702/E702)</f>
        <v>0.93257679534054083</v>
      </c>
      <c r="J702" s="329"/>
      <c r="K702" s="330"/>
      <c r="L702" s="330"/>
      <c r="M702" s="330"/>
      <c r="N702" s="330"/>
      <c r="O702" s="330"/>
      <c r="P702" s="330"/>
      <c r="Q702" s="330"/>
      <c r="R702" s="330"/>
      <c r="S702" s="331"/>
      <c r="U702" s="250"/>
      <c r="V702" s="243" t="s">
        <v>1933</v>
      </c>
      <c r="W702" s="246">
        <v>8</v>
      </c>
    </row>
    <row r="703" spans="1:23" ht="153" customHeight="1" x14ac:dyDescent="0.25">
      <c r="A703" s="306" t="s">
        <v>1188</v>
      </c>
      <c r="B703" s="308" t="s">
        <v>1189</v>
      </c>
      <c r="C703" s="17"/>
      <c r="D703" s="18">
        <f>SUM(D704:D708)</f>
        <v>5903.2999999999993</v>
      </c>
      <c r="E703" s="18">
        <f>SUM(E704:E708)</f>
        <v>5903.2999999999993</v>
      </c>
      <c r="F703" s="18">
        <f>SUM(F704:F708)+0.1</f>
        <v>5370.8000000000011</v>
      </c>
      <c r="G703" s="18">
        <f>SUM(G704:G708)-0.1</f>
        <v>532.5</v>
      </c>
      <c r="H703" s="18">
        <f>SUM(H704:H708)-0.1</f>
        <v>532.5</v>
      </c>
      <c r="I703" s="261">
        <f t="shared" ref="I703:I707" si="51">SUM(F703/E703)</f>
        <v>0.90979621567597813</v>
      </c>
      <c r="J703" s="48" t="s">
        <v>1190</v>
      </c>
      <c r="K703" s="19" t="s">
        <v>57</v>
      </c>
      <c r="L703" s="19">
        <v>5</v>
      </c>
      <c r="M703" s="111">
        <v>5</v>
      </c>
      <c r="N703" s="20"/>
      <c r="O703" s="20"/>
      <c r="P703" s="20"/>
      <c r="Q703" s="20"/>
      <c r="R703" s="48" t="s">
        <v>1191</v>
      </c>
      <c r="S703" s="52"/>
      <c r="U703" s="247"/>
      <c r="V703" s="243" t="s">
        <v>1934</v>
      </c>
      <c r="W703" s="246"/>
    </row>
    <row r="704" spans="1:23" ht="105.75" customHeight="1" x14ac:dyDescent="0.25">
      <c r="A704" s="406"/>
      <c r="B704" s="310"/>
      <c r="C704" s="22" t="s">
        <v>32</v>
      </c>
      <c r="D704" s="23">
        <v>695</v>
      </c>
      <c r="E704" s="23">
        <v>695</v>
      </c>
      <c r="F704" s="23">
        <v>680.7</v>
      </c>
      <c r="G704" s="23">
        <v>14.3</v>
      </c>
      <c r="H704" s="54">
        <v>14.3</v>
      </c>
      <c r="I704" s="262">
        <f t="shared" si="51"/>
        <v>0.97942446043165476</v>
      </c>
      <c r="J704" s="55" t="s">
        <v>1192</v>
      </c>
      <c r="K704" s="24" t="s">
        <v>29</v>
      </c>
      <c r="L704" s="24">
        <v>100</v>
      </c>
      <c r="M704" s="104">
        <v>100</v>
      </c>
      <c r="N704" s="25"/>
      <c r="O704" s="25"/>
      <c r="P704" s="25"/>
      <c r="Q704" s="25"/>
      <c r="R704" s="85" t="s">
        <v>1740</v>
      </c>
      <c r="S704" s="143"/>
      <c r="U704" s="240"/>
      <c r="V704" s="248" t="s">
        <v>1935</v>
      </c>
      <c r="W704" s="246">
        <f>+SUM(W699:W703)</f>
        <v>26</v>
      </c>
    </row>
    <row r="705" spans="1:19" ht="65.25" customHeight="1" x14ac:dyDescent="0.25">
      <c r="A705" s="406"/>
      <c r="B705" s="310"/>
      <c r="C705" s="22" t="s">
        <v>55</v>
      </c>
      <c r="D705" s="23">
        <v>369.4</v>
      </c>
      <c r="E705" s="23">
        <v>369.4</v>
      </c>
      <c r="F705" s="23">
        <v>20.399999999999999</v>
      </c>
      <c r="G705" s="23">
        <v>349</v>
      </c>
      <c r="H705" s="54">
        <v>349</v>
      </c>
      <c r="I705" s="262">
        <f t="shared" si="51"/>
        <v>5.5224688684353006E-2</v>
      </c>
      <c r="J705" s="55" t="s">
        <v>1193</v>
      </c>
      <c r="K705" s="24" t="s">
        <v>57</v>
      </c>
      <c r="L705" s="24">
        <v>320</v>
      </c>
      <c r="M705" s="110">
        <v>329</v>
      </c>
      <c r="N705" s="25"/>
      <c r="O705" s="25"/>
      <c r="P705" s="25"/>
      <c r="Q705" s="25"/>
      <c r="R705" s="49" t="s">
        <v>1661</v>
      </c>
      <c r="S705" s="143"/>
    </row>
    <row r="706" spans="1:19" ht="51" x14ac:dyDescent="0.25">
      <c r="A706" s="406"/>
      <c r="B706" s="310"/>
      <c r="C706" s="22" t="s">
        <v>697</v>
      </c>
      <c r="D706" s="23">
        <v>4587.8999999999996</v>
      </c>
      <c r="E706" s="23">
        <v>4587.8999999999996</v>
      </c>
      <c r="F706" s="23">
        <v>4418.6000000000004</v>
      </c>
      <c r="G706" s="23">
        <v>169.3</v>
      </c>
      <c r="H706" s="54">
        <v>169.3</v>
      </c>
      <c r="I706" s="262">
        <f t="shared" si="51"/>
        <v>0.96309858540944671</v>
      </c>
      <c r="J706" s="55" t="s">
        <v>1194</v>
      </c>
      <c r="K706" s="24" t="s">
        <v>57</v>
      </c>
      <c r="L706" s="24">
        <v>120</v>
      </c>
      <c r="M706" s="109">
        <v>109</v>
      </c>
      <c r="N706" s="25"/>
      <c r="O706" s="25"/>
      <c r="P706" s="25"/>
      <c r="Q706" s="25"/>
      <c r="R706" s="49" t="s">
        <v>1660</v>
      </c>
      <c r="S706" s="53" t="s">
        <v>1737</v>
      </c>
    </row>
    <row r="707" spans="1:19" ht="51" x14ac:dyDescent="0.25">
      <c r="A707" s="406"/>
      <c r="B707" s="310"/>
      <c r="C707" s="22" t="s">
        <v>30</v>
      </c>
      <c r="D707" s="23">
        <v>251</v>
      </c>
      <c r="E707" s="23">
        <v>251</v>
      </c>
      <c r="F707" s="23">
        <v>251</v>
      </c>
      <c r="G707" s="23"/>
      <c r="H707" s="23"/>
      <c r="I707" s="279">
        <f t="shared" si="51"/>
        <v>1</v>
      </c>
      <c r="J707" s="49" t="s">
        <v>1195</v>
      </c>
      <c r="K707" s="24" t="s">
        <v>57</v>
      </c>
      <c r="L707" s="24">
        <v>405</v>
      </c>
      <c r="M707" s="109">
        <v>396</v>
      </c>
      <c r="N707" s="25"/>
      <c r="O707" s="25"/>
      <c r="P707" s="25"/>
      <c r="Q707" s="25"/>
      <c r="R707" s="49" t="s">
        <v>1659</v>
      </c>
      <c r="S707" s="53" t="s">
        <v>1738</v>
      </c>
    </row>
    <row r="708" spans="1:19" ht="64.5" thickBot="1" x14ac:dyDescent="0.3">
      <c r="A708" s="307"/>
      <c r="B708" s="309"/>
      <c r="C708" s="22"/>
      <c r="D708" s="23"/>
      <c r="E708" s="23"/>
      <c r="F708" s="23"/>
      <c r="G708" s="23"/>
      <c r="H708" s="23"/>
      <c r="I708" s="269"/>
      <c r="J708" s="49" t="s">
        <v>1196</v>
      </c>
      <c r="K708" s="24" t="s">
        <v>57</v>
      </c>
      <c r="L708" s="24">
        <v>50</v>
      </c>
      <c r="M708" s="110">
        <v>53</v>
      </c>
      <c r="N708" s="25"/>
      <c r="O708" s="25"/>
      <c r="P708" s="25"/>
      <c r="Q708" s="25"/>
      <c r="R708" s="49" t="s">
        <v>1658</v>
      </c>
      <c r="S708" s="53"/>
    </row>
    <row r="709" spans="1:19" ht="66.75" customHeight="1" thickBot="1" x14ac:dyDescent="0.3">
      <c r="A709" s="16" t="s">
        <v>1197</v>
      </c>
      <c r="B709" s="42" t="s">
        <v>1198</v>
      </c>
      <c r="C709" s="17" t="s">
        <v>697</v>
      </c>
      <c r="D709" s="26">
        <v>297.89999999999998</v>
      </c>
      <c r="E709" s="26">
        <v>297.89999999999998</v>
      </c>
      <c r="F709" s="26">
        <v>297.89999999999998</v>
      </c>
      <c r="G709" s="26"/>
      <c r="H709" s="26"/>
      <c r="I709" s="264">
        <f t="shared" ref="I709:I713" si="52">SUM(F709/E709)</f>
        <v>1</v>
      </c>
      <c r="J709" s="48" t="s">
        <v>1199</v>
      </c>
      <c r="K709" s="19" t="s">
        <v>29</v>
      </c>
      <c r="L709" s="19">
        <v>6</v>
      </c>
      <c r="M709" s="108">
        <v>8</v>
      </c>
      <c r="N709" s="20"/>
      <c r="O709" s="20"/>
      <c r="P709" s="20"/>
      <c r="Q709" s="20"/>
      <c r="R709" s="146" t="s">
        <v>1896</v>
      </c>
      <c r="S709" s="120"/>
    </row>
    <row r="710" spans="1:19" ht="50.25" customHeight="1" x14ac:dyDescent="0.25">
      <c r="A710" s="306" t="s">
        <v>1200</v>
      </c>
      <c r="B710" s="308" t="s">
        <v>1201</v>
      </c>
      <c r="C710" s="17"/>
      <c r="D710" s="18">
        <f>SUM(D711:D713)</f>
        <v>496.5</v>
      </c>
      <c r="E710" s="18">
        <f>SUM(E711:E713)</f>
        <v>496.5</v>
      </c>
      <c r="F710" s="18">
        <f>SUM(F711:F713)+0.1</f>
        <v>310.7</v>
      </c>
      <c r="G710" s="18">
        <f>SUM(G711:G713)</f>
        <v>185.89999999999998</v>
      </c>
      <c r="H710" s="18">
        <f>SUM(H711:H713)</f>
        <v>185.89999999999998</v>
      </c>
      <c r="I710" s="261">
        <f t="shared" si="52"/>
        <v>0.62578046324269887</v>
      </c>
      <c r="J710" s="314" t="s">
        <v>1202</v>
      </c>
      <c r="K710" s="323" t="s">
        <v>29</v>
      </c>
      <c r="L710" s="323">
        <v>70</v>
      </c>
      <c r="M710" s="354">
        <v>62</v>
      </c>
      <c r="N710" s="20"/>
      <c r="O710" s="20"/>
      <c r="P710" s="20"/>
      <c r="Q710" s="20"/>
      <c r="R710" s="308" t="s">
        <v>1898</v>
      </c>
      <c r="S710" s="364" t="s">
        <v>1897</v>
      </c>
    </row>
    <row r="711" spans="1:19" x14ac:dyDescent="0.25">
      <c r="A711" s="406"/>
      <c r="B711" s="310"/>
      <c r="C711" s="22" t="s">
        <v>30</v>
      </c>
      <c r="D711" s="23">
        <v>88.6</v>
      </c>
      <c r="E711" s="23">
        <v>88.6</v>
      </c>
      <c r="F711" s="23">
        <v>88.5</v>
      </c>
      <c r="G711" s="23">
        <v>0.1</v>
      </c>
      <c r="H711" s="54">
        <v>0.1</v>
      </c>
      <c r="I711" s="262">
        <f t="shared" si="52"/>
        <v>0.99887133182844245</v>
      </c>
      <c r="J711" s="315"/>
      <c r="K711" s="324"/>
      <c r="L711" s="324"/>
      <c r="M711" s="355"/>
      <c r="N711" s="25"/>
      <c r="O711" s="25"/>
      <c r="P711" s="25"/>
      <c r="Q711" s="25"/>
      <c r="R711" s="310"/>
      <c r="S711" s="365"/>
    </row>
    <row r="712" spans="1:19" x14ac:dyDescent="0.25">
      <c r="A712" s="406"/>
      <c r="B712" s="310"/>
      <c r="C712" s="22" t="s">
        <v>55</v>
      </c>
      <c r="D712" s="23">
        <v>286.89999999999998</v>
      </c>
      <c r="E712" s="23">
        <v>286.89999999999998</v>
      </c>
      <c r="F712" s="23">
        <v>188.2</v>
      </c>
      <c r="G712" s="23">
        <v>98.7</v>
      </c>
      <c r="H712" s="54">
        <v>98.7</v>
      </c>
      <c r="I712" s="262">
        <f t="shared" si="52"/>
        <v>0.6559776925758104</v>
      </c>
      <c r="J712" s="315"/>
      <c r="K712" s="324"/>
      <c r="L712" s="324"/>
      <c r="M712" s="355"/>
      <c r="N712" s="25"/>
      <c r="O712" s="25"/>
      <c r="P712" s="25"/>
      <c r="Q712" s="25"/>
      <c r="R712" s="310"/>
      <c r="S712" s="365"/>
    </row>
    <row r="713" spans="1:19" ht="15.75" customHeight="1" thickBot="1" x14ac:dyDescent="0.3">
      <c r="A713" s="307"/>
      <c r="B713" s="309"/>
      <c r="C713" s="22" t="s">
        <v>32</v>
      </c>
      <c r="D713" s="23">
        <v>121</v>
      </c>
      <c r="E713" s="23">
        <v>121</v>
      </c>
      <c r="F713" s="23">
        <v>33.9</v>
      </c>
      <c r="G713" s="23">
        <v>87.1</v>
      </c>
      <c r="H713" s="23">
        <v>87.1</v>
      </c>
      <c r="I713" s="279">
        <f t="shared" si="52"/>
        <v>0.28016528925619832</v>
      </c>
      <c r="J713" s="316"/>
      <c r="K713" s="325"/>
      <c r="L713" s="325"/>
      <c r="M713" s="356"/>
      <c r="N713" s="25"/>
      <c r="O713" s="25"/>
      <c r="P713" s="25"/>
      <c r="Q713" s="25"/>
      <c r="R713" s="309"/>
      <c r="S713" s="366"/>
    </row>
    <row r="714" spans="1:19" ht="283.5" customHeight="1" x14ac:dyDescent="0.25">
      <c r="A714" s="306" t="s">
        <v>1203</v>
      </c>
      <c r="B714" s="308" t="s">
        <v>1204</v>
      </c>
      <c r="C714" s="17"/>
      <c r="D714" s="18">
        <f>SUM(D715:D718)</f>
        <v>1148.2</v>
      </c>
      <c r="E714" s="18">
        <f>SUM(E715:E718)</f>
        <v>1148.2</v>
      </c>
      <c r="F714" s="18">
        <f>SUM(F715:F718)</f>
        <v>1039.4000000000001</v>
      </c>
      <c r="G714" s="18">
        <f>SUM(G715:G718)-0.1</f>
        <v>108.7</v>
      </c>
      <c r="H714" s="18">
        <f>SUM(H715:H718)-0.1</f>
        <v>108.7</v>
      </c>
      <c r="I714" s="261">
        <f t="shared" ref="I714:I737" si="53">SUM(F714/E714)</f>
        <v>0.90524298902630207</v>
      </c>
      <c r="J714" s="48" t="s">
        <v>1190</v>
      </c>
      <c r="K714" s="19" t="s">
        <v>57</v>
      </c>
      <c r="L714" s="19">
        <v>8</v>
      </c>
      <c r="M714" s="111">
        <v>8</v>
      </c>
      <c r="N714" s="20"/>
      <c r="O714" s="20"/>
      <c r="P714" s="20"/>
      <c r="Q714" s="20"/>
      <c r="R714" s="48" t="s">
        <v>1721</v>
      </c>
      <c r="S714" s="52"/>
    </row>
    <row r="715" spans="1:19" ht="120.75" customHeight="1" x14ac:dyDescent="0.25">
      <c r="A715" s="406"/>
      <c r="B715" s="310"/>
      <c r="C715" s="22" t="s">
        <v>697</v>
      </c>
      <c r="D715" s="23">
        <v>381.5</v>
      </c>
      <c r="E715" s="23">
        <v>381.5</v>
      </c>
      <c r="F715" s="23">
        <v>381.5</v>
      </c>
      <c r="G715" s="23"/>
      <c r="H715" s="54"/>
      <c r="I715" s="262">
        <f t="shared" si="53"/>
        <v>1</v>
      </c>
      <c r="J715" s="55" t="s">
        <v>1205</v>
      </c>
      <c r="K715" s="24" t="s">
        <v>29</v>
      </c>
      <c r="L715" s="24">
        <v>100</v>
      </c>
      <c r="M715" s="104">
        <v>100</v>
      </c>
      <c r="N715" s="25"/>
      <c r="O715" s="25"/>
      <c r="P715" s="25"/>
      <c r="Q715" s="25"/>
      <c r="R715" s="49" t="s">
        <v>1663</v>
      </c>
      <c r="S715" s="53"/>
    </row>
    <row r="716" spans="1:19" ht="106.5" customHeight="1" x14ac:dyDescent="0.25">
      <c r="A716" s="406"/>
      <c r="B716" s="310"/>
      <c r="C716" s="22" t="s">
        <v>55</v>
      </c>
      <c r="D716" s="23">
        <v>333.5</v>
      </c>
      <c r="E716" s="23">
        <v>333.5</v>
      </c>
      <c r="F716" s="23">
        <v>317.3</v>
      </c>
      <c r="G716" s="23">
        <v>16.2</v>
      </c>
      <c r="H716" s="54">
        <v>16.2</v>
      </c>
      <c r="I716" s="262">
        <f t="shared" si="53"/>
        <v>0.95142428785607203</v>
      </c>
      <c r="J716" s="55" t="s">
        <v>1206</v>
      </c>
      <c r="K716" s="24" t="s">
        <v>29</v>
      </c>
      <c r="L716" s="24">
        <v>100</v>
      </c>
      <c r="M716" s="104">
        <v>100</v>
      </c>
      <c r="N716" s="25"/>
      <c r="O716" s="25"/>
      <c r="P716" s="25"/>
      <c r="Q716" s="25"/>
      <c r="R716" s="49" t="s">
        <v>1207</v>
      </c>
      <c r="S716" s="143"/>
    </row>
    <row r="717" spans="1:19" ht="114.75" x14ac:dyDescent="0.25">
      <c r="A717" s="406"/>
      <c r="B717" s="310"/>
      <c r="C717" s="22" t="s">
        <v>32</v>
      </c>
      <c r="D717" s="23">
        <v>421.3</v>
      </c>
      <c r="E717" s="23">
        <v>421.3</v>
      </c>
      <c r="F717" s="23">
        <v>328.7</v>
      </c>
      <c r="G717" s="23">
        <v>92.6</v>
      </c>
      <c r="H717" s="54">
        <v>92.6</v>
      </c>
      <c r="I717" s="262">
        <f t="shared" si="53"/>
        <v>0.78020413007358169</v>
      </c>
      <c r="J717" s="55" t="s">
        <v>1208</v>
      </c>
      <c r="K717" s="24" t="s">
        <v>29</v>
      </c>
      <c r="L717" s="24">
        <v>100</v>
      </c>
      <c r="M717" s="104">
        <v>100</v>
      </c>
      <c r="N717" s="25"/>
      <c r="O717" s="25"/>
      <c r="P717" s="25"/>
      <c r="Q717" s="25"/>
      <c r="R717" s="49" t="s">
        <v>1209</v>
      </c>
      <c r="S717" s="143"/>
    </row>
    <row r="718" spans="1:19" ht="147" customHeight="1" thickBot="1" x14ac:dyDescent="0.3">
      <c r="A718" s="307"/>
      <c r="B718" s="309"/>
      <c r="C718" s="22" t="s">
        <v>30</v>
      </c>
      <c r="D718" s="23">
        <v>11.9</v>
      </c>
      <c r="E718" s="23">
        <v>11.9</v>
      </c>
      <c r="F718" s="23">
        <v>11.9</v>
      </c>
      <c r="G718" s="23"/>
      <c r="H718" s="23"/>
      <c r="I718" s="279">
        <f t="shared" si="53"/>
        <v>1</v>
      </c>
      <c r="J718" s="49" t="s">
        <v>1210</v>
      </c>
      <c r="K718" s="24" t="s">
        <v>29</v>
      </c>
      <c r="L718" s="24">
        <v>80</v>
      </c>
      <c r="M718" s="109">
        <v>75</v>
      </c>
      <c r="N718" s="25"/>
      <c r="O718" s="25"/>
      <c r="P718" s="25"/>
      <c r="Q718" s="25"/>
      <c r="R718" s="49" t="s">
        <v>1211</v>
      </c>
      <c r="S718" s="53" t="s">
        <v>1741</v>
      </c>
    </row>
    <row r="719" spans="1:19" ht="38.25" x14ac:dyDescent="0.25">
      <c r="A719" s="306" t="s">
        <v>1212</v>
      </c>
      <c r="B719" s="308" t="s">
        <v>1213</v>
      </c>
      <c r="C719" s="17"/>
      <c r="D719" s="18">
        <f>SUM(D720:D727)+0.1</f>
        <v>9617.9</v>
      </c>
      <c r="E719" s="18">
        <f>SUM(E720:E727)+0.1</f>
        <v>9617.9</v>
      </c>
      <c r="F719" s="18">
        <f>SUM(F720:F727)+0.2</f>
        <v>9148.5</v>
      </c>
      <c r="G719" s="18">
        <f>SUM(G720:G727)-0.1</f>
        <v>469.4</v>
      </c>
      <c r="H719" s="18">
        <f>SUM(H720:H727)-0.1</f>
        <v>469.4</v>
      </c>
      <c r="I719" s="261">
        <f t="shared" si="53"/>
        <v>0.95119516734422283</v>
      </c>
      <c r="J719" s="48" t="s">
        <v>1214</v>
      </c>
      <c r="K719" s="19" t="s">
        <v>57</v>
      </c>
      <c r="L719" s="19">
        <v>25</v>
      </c>
      <c r="M719" s="111">
        <v>25</v>
      </c>
      <c r="N719" s="20"/>
      <c r="O719" s="20"/>
      <c r="P719" s="20"/>
      <c r="Q719" s="20"/>
      <c r="R719" s="147"/>
      <c r="S719" s="52"/>
    </row>
    <row r="720" spans="1:19" ht="44.25" customHeight="1" x14ac:dyDescent="0.25">
      <c r="A720" s="406"/>
      <c r="B720" s="310"/>
      <c r="C720" s="22" t="s">
        <v>30</v>
      </c>
      <c r="D720" s="23">
        <v>663.6</v>
      </c>
      <c r="E720" s="23">
        <v>663.6</v>
      </c>
      <c r="F720" s="23">
        <v>570.6</v>
      </c>
      <c r="G720" s="23">
        <v>93</v>
      </c>
      <c r="H720" s="54">
        <v>93</v>
      </c>
      <c r="I720" s="262">
        <f t="shared" si="53"/>
        <v>0.85985533453887886</v>
      </c>
      <c r="J720" s="55" t="s">
        <v>1215</v>
      </c>
      <c r="K720" s="24" t="s">
        <v>57</v>
      </c>
      <c r="L720" s="94">
        <v>23400</v>
      </c>
      <c r="M720" s="114">
        <v>26300</v>
      </c>
      <c r="N720" s="25"/>
      <c r="O720" s="25"/>
      <c r="P720" s="25"/>
      <c r="Q720" s="25"/>
      <c r="R720" s="49" t="s">
        <v>1664</v>
      </c>
      <c r="S720" s="156"/>
    </row>
    <row r="721" spans="1:19" ht="400.5" customHeight="1" x14ac:dyDescent="0.25">
      <c r="A721" s="406"/>
      <c r="B721" s="310"/>
      <c r="C721" s="22" t="s">
        <v>55</v>
      </c>
      <c r="D721" s="23">
        <v>477.6</v>
      </c>
      <c r="E721" s="23">
        <v>477.6</v>
      </c>
      <c r="F721" s="23">
        <v>477.6</v>
      </c>
      <c r="G721" s="23"/>
      <c r="H721" s="54"/>
      <c r="I721" s="262">
        <f t="shared" si="53"/>
        <v>1</v>
      </c>
      <c r="J721" s="55" t="s">
        <v>1216</v>
      </c>
      <c r="K721" s="24" t="s">
        <v>57</v>
      </c>
      <c r="L721" s="24">
        <v>14</v>
      </c>
      <c r="M721" s="104">
        <v>14</v>
      </c>
      <c r="N721" s="25"/>
      <c r="O721" s="25"/>
      <c r="P721" s="25"/>
      <c r="Q721" s="25"/>
      <c r="R721" s="49" t="s">
        <v>1217</v>
      </c>
      <c r="S721" s="53"/>
    </row>
    <row r="722" spans="1:19" ht="25.5" x14ac:dyDescent="0.25">
      <c r="A722" s="406"/>
      <c r="B722" s="310"/>
      <c r="C722" s="22" t="s">
        <v>185</v>
      </c>
      <c r="D722" s="23">
        <v>1131</v>
      </c>
      <c r="E722" s="23">
        <v>1131</v>
      </c>
      <c r="F722" s="23">
        <v>1123.4000000000001</v>
      </c>
      <c r="G722" s="23">
        <v>7.6</v>
      </c>
      <c r="H722" s="54">
        <v>7.6</v>
      </c>
      <c r="I722" s="262">
        <f t="shared" si="53"/>
        <v>0.99328028293545545</v>
      </c>
      <c r="J722" s="55" t="s">
        <v>1218</v>
      </c>
      <c r="K722" s="24" t="s">
        <v>57</v>
      </c>
      <c r="L722" s="24">
        <v>490</v>
      </c>
      <c r="M722" s="104">
        <v>490</v>
      </c>
      <c r="N722" s="25"/>
      <c r="O722" s="25"/>
      <c r="P722" s="25"/>
      <c r="Q722" s="25"/>
      <c r="R722" s="145"/>
      <c r="S722" s="53"/>
    </row>
    <row r="723" spans="1:19" ht="102" x14ac:dyDescent="0.25">
      <c r="A723" s="406"/>
      <c r="B723" s="310"/>
      <c r="C723" s="22" t="s">
        <v>172</v>
      </c>
      <c r="D723" s="23">
        <v>53.8</v>
      </c>
      <c r="E723" s="23">
        <v>53.8</v>
      </c>
      <c r="F723" s="23">
        <v>15.2</v>
      </c>
      <c r="G723" s="23">
        <v>38.6</v>
      </c>
      <c r="H723" s="54">
        <v>38.6</v>
      </c>
      <c r="I723" s="262">
        <f t="shared" si="53"/>
        <v>0.28252788104089221</v>
      </c>
      <c r="J723" s="55" t="s">
        <v>1219</v>
      </c>
      <c r="K723" s="24" t="s">
        <v>57</v>
      </c>
      <c r="L723" s="24">
        <v>4</v>
      </c>
      <c r="M723" s="110">
        <v>6</v>
      </c>
      <c r="N723" s="25"/>
      <c r="O723" s="25"/>
      <c r="P723" s="25"/>
      <c r="Q723" s="25"/>
      <c r="R723" s="49" t="s">
        <v>1665</v>
      </c>
      <c r="S723" s="143"/>
    </row>
    <row r="724" spans="1:19" ht="40.5" customHeight="1" x14ac:dyDescent="0.25">
      <c r="A724" s="406"/>
      <c r="B724" s="310"/>
      <c r="C724" s="22" t="s">
        <v>32</v>
      </c>
      <c r="D724" s="23">
        <v>5747.7</v>
      </c>
      <c r="E724" s="23">
        <v>5747.7</v>
      </c>
      <c r="F724" s="23">
        <v>5666.5</v>
      </c>
      <c r="G724" s="23">
        <v>81.2</v>
      </c>
      <c r="H724" s="54">
        <v>81.2</v>
      </c>
      <c r="I724" s="262">
        <f t="shared" si="53"/>
        <v>0.98587260991353065</v>
      </c>
      <c r="J724" s="55" t="s">
        <v>1220</v>
      </c>
      <c r="K724" s="24" t="s">
        <v>57</v>
      </c>
      <c r="L724" s="24">
        <v>65</v>
      </c>
      <c r="M724" s="110">
        <v>85</v>
      </c>
      <c r="N724" s="25"/>
      <c r="O724" s="25"/>
      <c r="P724" s="25"/>
      <c r="Q724" s="25"/>
      <c r="R724" s="49" t="s">
        <v>1666</v>
      </c>
      <c r="S724" s="143"/>
    </row>
    <row r="725" spans="1:19" ht="114.75" x14ac:dyDescent="0.25">
      <c r="A725" s="406"/>
      <c r="B725" s="310"/>
      <c r="C725" s="22" t="s">
        <v>697</v>
      </c>
      <c r="D725" s="23">
        <v>1075.5999999999999</v>
      </c>
      <c r="E725" s="23">
        <v>1075.5999999999999</v>
      </c>
      <c r="F725" s="23">
        <v>1075.5999999999999</v>
      </c>
      <c r="G725" s="23"/>
      <c r="H725" s="54"/>
      <c r="I725" s="262">
        <f t="shared" si="53"/>
        <v>1</v>
      </c>
      <c r="J725" s="55" t="s">
        <v>1221</v>
      </c>
      <c r="K725" s="24" t="s">
        <v>57</v>
      </c>
      <c r="L725" s="24">
        <v>4</v>
      </c>
      <c r="M725" s="110">
        <v>5</v>
      </c>
      <c r="N725" s="25"/>
      <c r="O725" s="25"/>
      <c r="P725" s="25"/>
      <c r="Q725" s="25"/>
      <c r="R725" s="49" t="s">
        <v>1222</v>
      </c>
      <c r="S725" s="143"/>
    </row>
    <row r="726" spans="1:19" ht="34.5" customHeight="1" x14ac:dyDescent="0.25">
      <c r="A726" s="406"/>
      <c r="B726" s="310"/>
      <c r="C726" s="22" t="s">
        <v>180</v>
      </c>
      <c r="D726" s="23">
        <v>427.7</v>
      </c>
      <c r="E726" s="23">
        <v>427.7</v>
      </c>
      <c r="F726" s="23">
        <v>175.6</v>
      </c>
      <c r="G726" s="23">
        <v>252.1</v>
      </c>
      <c r="H726" s="54">
        <v>252.1</v>
      </c>
      <c r="I726" s="262">
        <f t="shared" si="53"/>
        <v>0.41056815524900631</v>
      </c>
      <c r="J726" s="333" t="s">
        <v>1223</v>
      </c>
      <c r="K726" s="334" t="s">
        <v>57</v>
      </c>
      <c r="L726" s="334">
        <v>465</v>
      </c>
      <c r="M726" s="335">
        <v>644</v>
      </c>
      <c r="N726" s="25"/>
      <c r="O726" s="25"/>
      <c r="P726" s="25"/>
      <c r="Q726" s="25"/>
      <c r="R726" s="338" t="s">
        <v>1667</v>
      </c>
      <c r="S726" s="363"/>
    </row>
    <row r="727" spans="1:19" ht="15.75" thickBot="1" x14ac:dyDescent="0.3">
      <c r="A727" s="307"/>
      <c r="B727" s="309"/>
      <c r="C727" s="22" t="s">
        <v>177</v>
      </c>
      <c r="D727" s="23">
        <v>40.799999999999997</v>
      </c>
      <c r="E727" s="23">
        <v>40.799999999999997</v>
      </c>
      <c r="F727" s="23">
        <v>43.8</v>
      </c>
      <c r="G727" s="23">
        <v>-3</v>
      </c>
      <c r="H727" s="23">
        <v>-3</v>
      </c>
      <c r="I727" s="279">
        <f t="shared" si="53"/>
        <v>1.0735294117647058</v>
      </c>
      <c r="J727" s="316"/>
      <c r="K727" s="325"/>
      <c r="L727" s="325"/>
      <c r="M727" s="337"/>
      <c r="N727" s="25"/>
      <c r="O727" s="25"/>
      <c r="P727" s="25"/>
      <c r="Q727" s="25"/>
      <c r="R727" s="309"/>
      <c r="S727" s="319"/>
    </row>
    <row r="728" spans="1:19" ht="76.5" x14ac:dyDescent="0.25">
      <c r="A728" s="306" t="s">
        <v>1224</v>
      </c>
      <c r="B728" s="308" t="s">
        <v>1225</v>
      </c>
      <c r="C728" s="17"/>
      <c r="D728" s="18">
        <f>SUM(D729:D730)</f>
        <v>1180.2</v>
      </c>
      <c r="E728" s="18">
        <f>SUM(E729:E730)</f>
        <v>1180.2</v>
      </c>
      <c r="F728" s="18">
        <f>SUM(F729:F730)</f>
        <v>1173.8</v>
      </c>
      <c r="G728" s="18">
        <f>SUM(G729:G730)</f>
        <v>6.4</v>
      </c>
      <c r="H728" s="18">
        <f>SUM(H729:H730)</f>
        <v>6.4</v>
      </c>
      <c r="I728" s="261">
        <f t="shared" si="53"/>
        <v>0.99457719030672764</v>
      </c>
      <c r="J728" s="48" t="s">
        <v>1226</v>
      </c>
      <c r="K728" s="19" t="s">
        <v>57</v>
      </c>
      <c r="L728" s="19">
        <v>220</v>
      </c>
      <c r="M728" s="108">
        <v>253</v>
      </c>
      <c r="N728" s="20"/>
      <c r="O728" s="20"/>
      <c r="P728" s="20"/>
      <c r="Q728" s="20"/>
      <c r="R728" s="48" t="s">
        <v>1668</v>
      </c>
      <c r="S728" s="52"/>
    </row>
    <row r="729" spans="1:19" ht="38.25" x14ac:dyDescent="0.25">
      <c r="A729" s="406"/>
      <c r="B729" s="310"/>
      <c r="C729" s="22" t="s">
        <v>30</v>
      </c>
      <c r="D729" s="23">
        <v>1136.2</v>
      </c>
      <c r="E729" s="23">
        <v>1136.2</v>
      </c>
      <c r="F729" s="23">
        <v>1136.2</v>
      </c>
      <c r="G729" s="23">
        <v>0</v>
      </c>
      <c r="H729" s="54">
        <v>0</v>
      </c>
      <c r="I729" s="262">
        <f t="shared" si="53"/>
        <v>1</v>
      </c>
      <c r="J729" s="55" t="s">
        <v>1227</v>
      </c>
      <c r="K729" s="24" t="s">
        <v>57</v>
      </c>
      <c r="L729" s="24">
        <v>20</v>
      </c>
      <c r="M729" s="104">
        <v>20</v>
      </c>
      <c r="N729" s="25"/>
      <c r="O729" s="25"/>
      <c r="P729" s="25"/>
      <c r="Q729" s="25"/>
      <c r="R729" s="49" t="s">
        <v>1669</v>
      </c>
      <c r="S729" s="53"/>
    </row>
    <row r="730" spans="1:19" ht="51.75" thickBot="1" x14ac:dyDescent="0.3">
      <c r="A730" s="307"/>
      <c r="B730" s="309"/>
      <c r="C730" s="22" t="s">
        <v>32</v>
      </c>
      <c r="D730" s="23">
        <v>44</v>
      </c>
      <c r="E730" s="23">
        <v>44</v>
      </c>
      <c r="F730" s="23">
        <v>37.6</v>
      </c>
      <c r="G730" s="23">
        <v>6.4</v>
      </c>
      <c r="H730" s="23">
        <v>6.4</v>
      </c>
      <c r="I730" s="279">
        <f t="shared" si="53"/>
        <v>0.85454545454545461</v>
      </c>
      <c r="J730" s="49" t="s">
        <v>1228</v>
      </c>
      <c r="K730" s="24" t="s">
        <v>57</v>
      </c>
      <c r="L730" s="24">
        <v>30</v>
      </c>
      <c r="M730" s="110">
        <v>32</v>
      </c>
      <c r="N730" s="25"/>
      <c r="O730" s="25"/>
      <c r="P730" s="25"/>
      <c r="Q730" s="25"/>
      <c r="R730" s="49" t="s">
        <v>1229</v>
      </c>
      <c r="S730" s="143"/>
    </row>
    <row r="731" spans="1:19" ht="51" x14ac:dyDescent="0.25">
      <c r="A731" s="306" t="s">
        <v>1230</v>
      </c>
      <c r="B731" s="308" t="s">
        <v>1231</v>
      </c>
      <c r="C731" s="17"/>
      <c r="D731" s="18">
        <f>SUM(D732:D733)</f>
        <v>330</v>
      </c>
      <c r="E731" s="18">
        <f>SUM(E732:E733)</f>
        <v>330</v>
      </c>
      <c r="F731" s="18">
        <f>SUM(F732:F733)</f>
        <v>318.89999999999998</v>
      </c>
      <c r="G731" s="18">
        <f>SUM(G732:G733)</f>
        <v>11</v>
      </c>
      <c r="H731" s="18">
        <f>SUM(H732:H733)</f>
        <v>11</v>
      </c>
      <c r="I731" s="261">
        <f t="shared" si="53"/>
        <v>0.96636363636363631</v>
      </c>
      <c r="J731" s="48" t="s">
        <v>1232</v>
      </c>
      <c r="K731" s="19" t="s">
        <v>57</v>
      </c>
      <c r="L731" s="19">
        <v>13</v>
      </c>
      <c r="M731" s="108">
        <v>14</v>
      </c>
      <c r="N731" s="20"/>
      <c r="O731" s="20"/>
      <c r="P731" s="20"/>
      <c r="Q731" s="20"/>
      <c r="R731" s="48" t="s">
        <v>1670</v>
      </c>
      <c r="S731" s="120"/>
    </row>
    <row r="732" spans="1:19" ht="64.5" customHeight="1" x14ac:dyDescent="0.25">
      <c r="A732" s="406"/>
      <c r="B732" s="310"/>
      <c r="C732" s="22" t="s">
        <v>32</v>
      </c>
      <c r="D732" s="23">
        <v>127.4</v>
      </c>
      <c r="E732" s="23">
        <v>127.4</v>
      </c>
      <c r="F732" s="23">
        <v>125.9</v>
      </c>
      <c r="G732" s="23">
        <v>1.5</v>
      </c>
      <c r="H732" s="54">
        <v>1.5</v>
      </c>
      <c r="I732" s="262">
        <f t="shared" si="53"/>
        <v>0.98822605965463106</v>
      </c>
      <c r="J732" s="333" t="s">
        <v>1233</v>
      </c>
      <c r="K732" s="334" t="s">
        <v>57</v>
      </c>
      <c r="L732" s="334">
        <v>420</v>
      </c>
      <c r="M732" s="335">
        <v>452</v>
      </c>
      <c r="N732" s="25"/>
      <c r="O732" s="25"/>
      <c r="P732" s="25"/>
      <c r="Q732" s="25"/>
      <c r="R732" s="338" t="s">
        <v>1671</v>
      </c>
      <c r="S732" s="339"/>
    </row>
    <row r="733" spans="1:19" ht="15.75" thickBot="1" x14ac:dyDescent="0.3">
      <c r="A733" s="307"/>
      <c r="B733" s="309"/>
      <c r="C733" s="22" t="s">
        <v>55</v>
      </c>
      <c r="D733" s="23">
        <v>202.6</v>
      </c>
      <c r="E733" s="23">
        <v>202.6</v>
      </c>
      <c r="F733" s="23">
        <v>193</v>
      </c>
      <c r="G733" s="23">
        <v>9.5</v>
      </c>
      <c r="H733" s="23">
        <v>9.5</v>
      </c>
      <c r="I733" s="279">
        <f t="shared" si="53"/>
        <v>0.95261599210266534</v>
      </c>
      <c r="J733" s="316"/>
      <c r="K733" s="325"/>
      <c r="L733" s="325"/>
      <c r="M733" s="337"/>
      <c r="N733" s="25"/>
      <c r="O733" s="25"/>
      <c r="P733" s="25"/>
      <c r="Q733" s="25"/>
      <c r="R733" s="309"/>
      <c r="S733" s="305"/>
    </row>
    <row r="734" spans="1:19" ht="25.5" x14ac:dyDescent="0.25">
      <c r="A734" s="306" t="s">
        <v>1234</v>
      </c>
      <c r="B734" s="308" t="s">
        <v>1235</v>
      </c>
      <c r="C734" s="17"/>
      <c r="D734" s="18">
        <f>SUM(D735:D736)</f>
        <v>355.4</v>
      </c>
      <c r="E734" s="18">
        <f>SUM(E735:E736)</f>
        <v>355.4</v>
      </c>
      <c r="F734" s="18">
        <f>SUM(F735:F736)</f>
        <v>315.39999999999998</v>
      </c>
      <c r="G734" s="18">
        <f>SUM(G735:G736)</f>
        <v>40</v>
      </c>
      <c r="H734" s="18">
        <f>SUM(H735:H736)</f>
        <v>40</v>
      </c>
      <c r="I734" s="261">
        <f t="shared" si="53"/>
        <v>0.88745075970737197</v>
      </c>
      <c r="J734" s="48" t="s">
        <v>1236</v>
      </c>
      <c r="K734" s="19" t="s">
        <v>57</v>
      </c>
      <c r="L734" s="19">
        <v>260</v>
      </c>
      <c r="M734" s="108">
        <v>283</v>
      </c>
      <c r="N734" s="20"/>
      <c r="O734" s="20"/>
      <c r="P734" s="20"/>
      <c r="Q734" s="20"/>
      <c r="R734" s="48"/>
      <c r="S734" s="52"/>
    </row>
    <row r="735" spans="1:19" ht="38.25" x14ac:dyDescent="0.25">
      <c r="A735" s="406"/>
      <c r="B735" s="310"/>
      <c r="C735" s="22" t="s">
        <v>32</v>
      </c>
      <c r="D735" s="23">
        <v>181.8</v>
      </c>
      <c r="E735" s="23">
        <v>181.8</v>
      </c>
      <c r="F735" s="23">
        <v>141.80000000000001</v>
      </c>
      <c r="G735" s="23">
        <v>40</v>
      </c>
      <c r="H735" s="54">
        <v>40</v>
      </c>
      <c r="I735" s="262">
        <f t="shared" si="53"/>
        <v>0.77997799779977994</v>
      </c>
      <c r="J735" s="55" t="s">
        <v>1237</v>
      </c>
      <c r="K735" s="24" t="s">
        <v>57</v>
      </c>
      <c r="L735" s="24">
        <v>12</v>
      </c>
      <c r="M735" s="109">
        <v>10</v>
      </c>
      <c r="N735" s="25"/>
      <c r="O735" s="25"/>
      <c r="P735" s="25"/>
      <c r="Q735" s="25"/>
      <c r="R735" s="145"/>
      <c r="S735" s="53" t="s">
        <v>1672</v>
      </c>
    </row>
    <row r="736" spans="1:19" ht="54.75" customHeight="1" thickBot="1" x14ac:dyDescent="0.3">
      <c r="A736" s="307"/>
      <c r="B736" s="309"/>
      <c r="C736" s="22" t="s">
        <v>55</v>
      </c>
      <c r="D736" s="23">
        <v>173.6</v>
      </c>
      <c r="E736" s="23">
        <v>173.6</v>
      </c>
      <c r="F736" s="23">
        <v>173.6</v>
      </c>
      <c r="G736" s="23"/>
      <c r="H736" s="23"/>
      <c r="I736" s="279">
        <f t="shared" si="53"/>
        <v>1</v>
      </c>
      <c r="J736" s="49" t="s">
        <v>1238</v>
      </c>
      <c r="K736" s="24" t="s">
        <v>29</v>
      </c>
      <c r="L736" s="24">
        <v>12</v>
      </c>
      <c r="M736" s="104">
        <v>12</v>
      </c>
      <c r="N736" s="25"/>
      <c r="O736" s="25"/>
      <c r="P736" s="25"/>
      <c r="Q736" s="25"/>
      <c r="R736" s="49" t="s">
        <v>1673</v>
      </c>
      <c r="S736" s="143"/>
    </row>
    <row r="737" spans="1:19" ht="63.75" x14ac:dyDescent="0.25">
      <c r="A737" s="306" t="s">
        <v>1239</v>
      </c>
      <c r="B737" s="308" t="s">
        <v>1240</v>
      </c>
      <c r="C737" s="17" t="s">
        <v>32</v>
      </c>
      <c r="D737" s="18">
        <f>SUM(D738:D738)+130</f>
        <v>130</v>
      </c>
      <c r="E737" s="18">
        <f>SUM(E738:E738)+130</f>
        <v>130</v>
      </c>
      <c r="F737" s="18">
        <f>SUM(F738:F738)+119.9</f>
        <v>119.9</v>
      </c>
      <c r="G737" s="18">
        <f>SUM(G738:G738)+10.1</f>
        <v>10.1</v>
      </c>
      <c r="H737" s="18">
        <f>SUM(H738:H738)+10.1</f>
        <v>10.1</v>
      </c>
      <c r="I737" s="264">
        <f t="shared" si="53"/>
        <v>0.92230769230769238</v>
      </c>
      <c r="J737" s="48" t="s">
        <v>1241</v>
      </c>
      <c r="K737" s="19" t="s">
        <v>57</v>
      </c>
      <c r="L737" s="19">
        <v>800</v>
      </c>
      <c r="M737" s="107">
        <v>560</v>
      </c>
      <c r="N737" s="20"/>
      <c r="O737" s="20"/>
      <c r="P737" s="20"/>
      <c r="Q737" s="20"/>
      <c r="R737" s="48" t="s">
        <v>1242</v>
      </c>
      <c r="S737" s="52" t="s">
        <v>1742</v>
      </c>
    </row>
    <row r="738" spans="1:19" ht="51.75" thickBot="1" x14ac:dyDescent="0.3">
      <c r="A738" s="307"/>
      <c r="B738" s="309"/>
      <c r="C738" s="22"/>
      <c r="D738" s="23"/>
      <c r="E738" s="23"/>
      <c r="F738" s="23"/>
      <c r="G738" s="23"/>
      <c r="H738" s="23"/>
      <c r="I738" s="269"/>
      <c r="J738" s="49" t="s">
        <v>1243</v>
      </c>
      <c r="K738" s="24" t="s">
        <v>29</v>
      </c>
      <c r="L738" s="24">
        <v>100</v>
      </c>
      <c r="M738" s="104">
        <v>100</v>
      </c>
      <c r="N738" s="25"/>
      <c r="O738" s="25"/>
      <c r="P738" s="25"/>
      <c r="Q738" s="25"/>
      <c r="R738" s="49" t="s">
        <v>1244</v>
      </c>
      <c r="S738" s="53"/>
    </row>
    <row r="739" spans="1:19" ht="280.5" x14ac:dyDescent="0.25">
      <c r="A739" s="306" t="s">
        <v>1245</v>
      </c>
      <c r="B739" s="308" t="s">
        <v>1246</v>
      </c>
      <c r="C739" s="17"/>
      <c r="D739" s="18">
        <f>SUM(D740:D741)</f>
        <v>50.3</v>
      </c>
      <c r="E739" s="18">
        <f>SUM(E740:E741)</f>
        <v>50.3</v>
      </c>
      <c r="F739" s="18">
        <f>SUM(F740:F741)</f>
        <v>50.3</v>
      </c>
      <c r="G739" s="18"/>
      <c r="H739" s="18"/>
      <c r="I739" s="261">
        <f t="shared" ref="I739:I741" si="54">SUM(F739/E739)</f>
        <v>1</v>
      </c>
      <c r="J739" s="48" t="s">
        <v>1247</v>
      </c>
      <c r="K739" s="19" t="s">
        <v>57</v>
      </c>
      <c r="L739" s="19">
        <v>400</v>
      </c>
      <c r="M739" s="135">
        <v>1392</v>
      </c>
      <c r="N739" s="20"/>
      <c r="O739" s="20"/>
      <c r="P739" s="20"/>
      <c r="Q739" s="20"/>
      <c r="R739" s="48" t="s">
        <v>1899</v>
      </c>
      <c r="S739" s="52"/>
    </row>
    <row r="740" spans="1:19" ht="62.25" customHeight="1" x14ac:dyDescent="0.25">
      <c r="A740" s="406"/>
      <c r="B740" s="310"/>
      <c r="C740" s="22" t="s">
        <v>30</v>
      </c>
      <c r="D740" s="23">
        <v>0.3</v>
      </c>
      <c r="E740" s="23">
        <v>0.3</v>
      </c>
      <c r="F740" s="23">
        <v>0.3</v>
      </c>
      <c r="G740" s="23"/>
      <c r="H740" s="54"/>
      <c r="I740" s="262">
        <f t="shared" si="54"/>
        <v>1</v>
      </c>
      <c r="J740" s="333" t="s">
        <v>1248</v>
      </c>
      <c r="K740" s="334" t="s">
        <v>57</v>
      </c>
      <c r="L740" s="334">
        <v>2</v>
      </c>
      <c r="M740" s="353">
        <v>2</v>
      </c>
      <c r="N740" s="25"/>
      <c r="O740" s="25"/>
      <c r="P740" s="25"/>
      <c r="Q740" s="25"/>
      <c r="R740" s="338" t="s">
        <v>1249</v>
      </c>
      <c r="S740" s="339"/>
    </row>
    <row r="741" spans="1:19" ht="15.75" thickBot="1" x14ac:dyDescent="0.3">
      <c r="A741" s="307"/>
      <c r="B741" s="309"/>
      <c r="C741" s="22" t="s">
        <v>55</v>
      </c>
      <c r="D741" s="23">
        <v>50</v>
      </c>
      <c r="E741" s="23">
        <v>50</v>
      </c>
      <c r="F741" s="23">
        <v>50</v>
      </c>
      <c r="G741" s="23"/>
      <c r="H741" s="23"/>
      <c r="I741" s="279">
        <f t="shared" si="54"/>
        <v>1</v>
      </c>
      <c r="J741" s="316"/>
      <c r="K741" s="325"/>
      <c r="L741" s="325"/>
      <c r="M741" s="349"/>
      <c r="N741" s="25"/>
      <c r="O741" s="25"/>
      <c r="P741" s="25"/>
      <c r="Q741" s="25"/>
      <c r="R741" s="309"/>
      <c r="S741" s="305"/>
    </row>
    <row r="742" spans="1:19" ht="51.75" hidden="1" thickBot="1" x14ac:dyDescent="0.3">
      <c r="A742" s="16" t="s">
        <v>1250</v>
      </c>
      <c r="B742" s="42" t="s">
        <v>1251</v>
      </c>
      <c r="C742" s="17"/>
      <c r="D742" s="26"/>
      <c r="E742" s="26"/>
      <c r="F742" s="26"/>
      <c r="G742" s="26"/>
      <c r="H742" s="26"/>
      <c r="I742" s="281"/>
      <c r="J742" s="48"/>
      <c r="K742" s="19"/>
      <c r="L742" s="19"/>
      <c r="M742" s="19"/>
      <c r="N742" s="20"/>
      <c r="O742" s="20"/>
      <c r="P742" s="20"/>
      <c r="Q742" s="20"/>
      <c r="R742" s="48"/>
      <c r="S742" s="52"/>
    </row>
    <row r="743" spans="1:19" ht="25.5" x14ac:dyDescent="0.25">
      <c r="A743" s="306" t="s">
        <v>1252</v>
      </c>
      <c r="B743" s="308" t="s">
        <v>1253</v>
      </c>
      <c r="C743" s="17"/>
      <c r="D743" s="18">
        <f>SUM(D744:D746)</f>
        <v>659.1</v>
      </c>
      <c r="E743" s="18">
        <f>SUM(E744:E746)</f>
        <v>659.1</v>
      </c>
      <c r="F743" s="18">
        <f>SUM(F744:F746)</f>
        <v>655.30000000000007</v>
      </c>
      <c r="G743" s="18">
        <f>SUM(G744:G746)</f>
        <v>3.8</v>
      </c>
      <c r="H743" s="18">
        <f>SUM(H744:H746)</f>
        <v>3.8</v>
      </c>
      <c r="I743" s="261">
        <f t="shared" ref="I743:I745" si="55">SUM(F743/E743)</f>
        <v>0.99423456228189966</v>
      </c>
      <c r="J743" s="48" t="s">
        <v>1254</v>
      </c>
      <c r="K743" s="19" t="s">
        <v>57</v>
      </c>
      <c r="L743" s="19">
        <v>8</v>
      </c>
      <c r="M743" s="108">
        <v>12</v>
      </c>
      <c r="N743" s="20"/>
      <c r="O743" s="20"/>
      <c r="P743" s="20"/>
      <c r="Q743" s="20"/>
      <c r="R743" s="146" t="s">
        <v>1900</v>
      </c>
      <c r="S743" s="303"/>
    </row>
    <row r="744" spans="1:19" ht="38.25" x14ac:dyDescent="0.25">
      <c r="A744" s="406"/>
      <c r="B744" s="310"/>
      <c r="C744" s="22" t="s">
        <v>32</v>
      </c>
      <c r="D744" s="23">
        <v>526.20000000000005</v>
      </c>
      <c r="E744" s="23">
        <v>526.20000000000005</v>
      </c>
      <c r="F744" s="23">
        <v>526.20000000000005</v>
      </c>
      <c r="G744" s="23"/>
      <c r="H744" s="54"/>
      <c r="I744" s="262">
        <f t="shared" si="55"/>
        <v>1</v>
      </c>
      <c r="J744" s="55" t="s">
        <v>1255</v>
      </c>
      <c r="K744" s="24" t="s">
        <v>57</v>
      </c>
      <c r="L744" s="24">
        <v>25</v>
      </c>
      <c r="M744" s="110">
        <v>58</v>
      </c>
      <c r="N744" s="25"/>
      <c r="O744" s="25"/>
      <c r="P744" s="25"/>
      <c r="Q744" s="25"/>
      <c r="R744" s="85" t="s">
        <v>1901</v>
      </c>
      <c r="S744" s="304"/>
    </row>
    <row r="745" spans="1:19" ht="25.5" x14ac:dyDescent="0.25">
      <c r="A745" s="406"/>
      <c r="B745" s="310"/>
      <c r="C745" s="22" t="s">
        <v>180</v>
      </c>
      <c r="D745" s="23">
        <v>132.9</v>
      </c>
      <c r="E745" s="23">
        <v>132.9</v>
      </c>
      <c r="F745" s="23">
        <v>129.1</v>
      </c>
      <c r="G745" s="23">
        <v>3.8</v>
      </c>
      <c r="H745" s="54">
        <v>3.8</v>
      </c>
      <c r="I745" s="262">
        <f t="shared" si="55"/>
        <v>0.9714070729872083</v>
      </c>
      <c r="J745" s="55" t="s">
        <v>1256</v>
      </c>
      <c r="K745" s="24" t="s">
        <v>57</v>
      </c>
      <c r="L745" s="24">
        <v>24</v>
      </c>
      <c r="M745" s="110">
        <v>38</v>
      </c>
      <c r="N745" s="25"/>
      <c r="O745" s="25"/>
      <c r="P745" s="25"/>
      <c r="Q745" s="25"/>
      <c r="R745" s="85" t="s">
        <v>1902</v>
      </c>
      <c r="S745" s="304"/>
    </row>
    <row r="746" spans="1:19" ht="15.75" thickBot="1" x14ac:dyDescent="0.3">
      <c r="A746" s="307"/>
      <c r="B746" s="309"/>
      <c r="C746" s="22"/>
      <c r="D746" s="23"/>
      <c r="E746" s="23"/>
      <c r="F746" s="23"/>
      <c r="G746" s="23"/>
      <c r="H746" s="23"/>
      <c r="I746" s="283"/>
      <c r="J746" s="49" t="s">
        <v>1257</v>
      </c>
      <c r="K746" s="24" t="s">
        <v>57</v>
      </c>
      <c r="L746" s="24">
        <v>146</v>
      </c>
      <c r="M746" s="110">
        <v>155</v>
      </c>
      <c r="N746" s="25"/>
      <c r="O746" s="25"/>
      <c r="P746" s="25"/>
      <c r="Q746" s="25"/>
      <c r="R746" s="85" t="s">
        <v>1903</v>
      </c>
      <c r="S746" s="305"/>
    </row>
    <row r="747" spans="1:19" ht="90" customHeight="1" x14ac:dyDescent="0.25">
      <c r="A747" s="306" t="s">
        <v>1258</v>
      </c>
      <c r="B747" s="308" t="s">
        <v>1259</v>
      </c>
      <c r="C747" s="17"/>
      <c r="D747" s="18">
        <f>SUM(D748:D749)</f>
        <v>36</v>
      </c>
      <c r="E747" s="18">
        <f>SUM(E748:E749)</f>
        <v>36</v>
      </c>
      <c r="F747" s="18">
        <f>SUM(F748:F749)</f>
        <v>36</v>
      </c>
      <c r="G747" s="18"/>
      <c r="H747" s="18"/>
      <c r="I747" s="261">
        <f t="shared" ref="I747:I753" si="56">SUM(F747/E747)</f>
        <v>1</v>
      </c>
      <c r="J747" s="314" t="s">
        <v>1260</v>
      </c>
      <c r="K747" s="323" t="s">
        <v>57</v>
      </c>
      <c r="L747" s="340">
        <v>5000</v>
      </c>
      <c r="M747" s="357">
        <v>6132</v>
      </c>
      <c r="N747" s="20"/>
      <c r="O747" s="20"/>
      <c r="P747" s="20"/>
      <c r="Q747" s="20"/>
      <c r="R747" s="308" t="s">
        <v>1904</v>
      </c>
      <c r="S747" s="303"/>
    </row>
    <row r="748" spans="1:19" x14ac:dyDescent="0.25">
      <c r="A748" s="406"/>
      <c r="B748" s="310"/>
      <c r="C748" s="22" t="s">
        <v>481</v>
      </c>
      <c r="D748" s="23">
        <v>32.4</v>
      </c>
      <c r="E748" s="23">
        <v>32.4</v>
      </c>
      <c r="F748" s="23">
        <v>32.4</v>
      </c>
      <c r="G748" s="23"/>
      <c r="H748" s="54"/>
      <c r="I748" s="262">
        <f t="shared" si="56"/>
        <v>1</v>
      </c>
      <c r="J748" s="315"/>
      <c r="K748" s="324"/>
      <c r="L748" s="341"/>
      <c r="M748" s="358"/>
      <c r="N748" s="25"/>
      <c r="O748" s="25"/>
      <c r="P748" s="25"/>
      <c r="Q748" s="25"/>
      <c r="R748" s="310"/>
      <c r="S748" s="304"/>
    </row>
    <row r="749" spans="1:19" ht="15.75" thickBot="1" x14ac:dyDescent="0.3">
      <c r="A749" s="307"/>
      <c r="B749" s="309"/>
      <c r="C749" s="22" t="s">
        <v>55</v>
      </c>
      <c r="D749" s="23">
        <v>3.6</v>
      </c>
      <c r="E749" s="23">
        <v>3.6</v>
      </c>
      <c r="F749" s="23">
        <v>3.6</v>
      </c>
      <c r="G749" s="23"/>
      <c r="H749" s="23"/>
      <c r="I749" s="279">
        <f t="shared" si="56"/>
        <v>1</v>
      </c>
      <c r="J749" s="316"/>
      <c r="K749" s="325"/>
      <c r="L749" s="342"/>
      <c r="M749" s="359"/>
      <c r="N749" s="25"/>
      <c r="O749" s="25"/>
      <c r="P749" s="25"/>
      <c r="Q749" s="25"/>
      <c r="R749" s="309"/>
      <c r="S749" s="305"/>
    </row>
    <row r="750" spans="1:19" ht="142.5" customHeight="1" x14ac:dyDescent="0.25">
      <c r="A750" s="306" t="s">
        <v>1261</v>
      </c>
      <c r="B750" s="308" t="s">
        <v>1262</v>
      </c>
      <c r="C750" s="17"/>
      <c r="D750" s="18">
        <f>SUM(D751:D753)</f>
        <v>89.4</v>
      </c>
      <c r="E750" s="18">
        <f>SUM(E751:E753)</f>
        <v>89.4</v>
      </c>
      <c r="F750" s="18">
        <f>SUM(F751:F753)+0.1</f>
        <v>89</v>
      </c>
      <c r="G750" s="18">
        <f>SUM(G751:G753)-0.1</f>
        <v>0.4</v>
      </c>
      <c r="H750" s="18">
        <f>SUM(H751:H753)-0.1</f>
        <v>0.4</v>
      </c>
      <c r="I750" s="261">
        <f t="shared" si="56"/>
        <v>0.99552572706935116</v>
      </c>
      <c r="J750" s="48" t="s">
        <v>1263</v>
      </c>
      <c r="K750" s="19" t="s">
        <v>57</v>
      </c>
      <c r="L750" s="19">
        <v>40</v>
      </c>
      <c r="M750" s="107">
        <v>31</v>
      </c>
      <c r="N750" s="20"/>
      <c r="O750" s="20"/>
      <c r="P750" s="20"/>
      <c r="Q750" s="20"/>
      <c r="R750" s="48" t="s">
        <v>1264</v>
      </c>
      <c r="S750" s="52" t="s">
        <v>1739</v>
      </c>
    </row>
    <row r="751" spans="1:19" ht="51.75" customHeight="1" x14ac:dyDescent="0.25">
      <c r="A751" s="406"/>
      <c r="B751" s="310"/>
      <c r="C751" s="22" t="s">
        <v>481</v>
      </c>
      <c r="D751" s="23">
        <v>46.6</v>
      </c>
      <c r="E751" s="23">
        <v>46.6</v>
      </c>
      <c r="F751" s="23">
        <v>46.5</v>
      </c>
      <c r="G751" s="23">
        <v>0.1</v>
      </c>
      <c r="H751" s="54">
        <v>0.1</v>
      </c>
      <c r="I751" s="262">
        <f t="shared" si="56"/>
        <v>0.99785407725321884</v>
      </c>
      <c r="J751" s="55" t="s">
        <v>1265</v>
      </c>
      <c r="K751" s="24" t="s">
        <v>57</v>
      </c>
      <c r="L751" s="24">
        <v>100</v>
      </c>
      <c r="M751" s="109">
        <v>85</v>
      </c>
      <c r="N751" s="25"/>
      <c r="O751" s="25"/>
      <c r="P751" s="25"/>
      <c r="Q751" s="25"/>
      <c r="R751" s="49" t="s">
        <v>1905</v>
      </c>
      <c r="S751" s="53" t="s">
        <v>1739</v>
      </c>
    </row>
    <row r="752" spans="1:19" ht="63.75" customHeight="1" x14ac:dyDescent="0.25">
      <c r="A752" s="406"/>
      <c r="B752" s="310"/>
      <c r="C752" s="22" t="s">
        <v>55</v>
      </c>
      <c r="D752" s="23">
        <v>8.1999999999999993</v>
      </c>
      <c r="E752" s="23">
        <v>8.1999999999999993</v>
      </c>
      <c r="F752" s="23">
        <v>8.1999999999999993</v>
      </c>
      <c r="G752" s="23"/>
      <c r="H752" s="54"/>
      <c r="I752" s="262">
        <f t="shared" si="56"/>
        <v>1</v>
      </c>
      <c r="J752" s="55" t="s">
        <v>1266</v>
      </c>
      <c r="K752" s="24" t="s">
        <v>57</v>
      </c>
      <c r="L752" s="24">
        <v>1</v>
      </c>
      <c r="M752" s="104">
        <v>1</v>
      </c>
      <c r="N752" s="25"/>
      <c r="O752" s="25"/>
      <c r="P752" s="25"/>
      <c r="Q752" s="25"/>
      <c r="R752" s="49" t="s">
        <v>1267</v>
      </c>
      <c r="S752" s="53"/>
    </row>
    <row r="753" spans="1:19" ht="64.5" thickBot="1" x14ac:dyDescent="0.3">
      <c r="A753" s="307"/>
      <c r="B753" s="309"/>
      <c r="C753" s="22" t="s">
        <v>30</v>
      </c>
      <c r="D753" s="23">
        <v>34.6</v>
      </c>
      <c r="E753" s="23">
        <v>34.6</v>
      </c>
      <c r="F753" s="23">
        <v>34.200000000000003</v>
      </c>
      <c r="G753" s="23">
        <v>0.4</v>
      </c>
      <c r="H753" s="23">
        <v>0.4</v>
      </c>
      <c r="I753" s="279">
        <f t="shared" si="56"/>
        <v>0.98843930635838151</v>
      </c>
      <c r="J753" s="49" t="s">
        <v>1268</v>
      </c>
      <c r="K753" s="24" t="s">
        <v>57</v>
      </c>
      <c r="L753" s="24">
        <v>12</v>
      </c>
      <c r="M753" s="110">
        <v>18</v>
      </c>
      <c r="N753" s="25"/>
      <c r="O753" s="25"/>
      <c r="P753" s="25"/>
      <c r="Q753" s="25"/>
      <c r="R753" s="49" t="s">
        <v>1269</v>
      </c>
      <c r="S753" s="143"/>
    </row>
    <row r="754" spans="1:19" ht="77.25" thickBot="1" x14ac:dyDescent="0.3">
      <c r="A754" s="13" t="s">
        <v>1270</v>
      </c>
      <c r="B754" s="41" t="s">
        <v>1271</v>
      </c>
      <c r="C754" s="14"/>
      <c r="D754" s="15">
        <f>D755+D756+D757+D761+D762+D763+D766</f>
        <v>994.30000000000007</v>
      </c>
      <c r="E754" s="15">
        <f>E755+E756+E757+E761+E762+E763+E766</f>
        <v>994.30000000000007</v>
      </c>
      <c r="F754" s="15">
        <f>F755+F756+F757+F761+F762+F763+F766</f>
        <v>850</v>
      </c>
      <c r="G754" s="15">
        <f>G755+G756+G757+G761+G762+G763+G766</f>
        <v>144.29999999999998</v>
      </c>
      <c r="H754" s="15">
        <f>H755+H756+H757+H761+H762+H763+H766</f>
        <v>144.29999999999998</v>
      </c>
      <c r="I754" s="260">
        <f>SUM(F754/E754)</f>
        <v>0.85487277481645374</v>
      </c>
      <c r="J754" s="329"/>
      <c r="K754" s="330"/>
      <c r="L754" s="330"/>
      <c r="M754" s="330"/>
      <c r="N754" s="330"/>
      <c r="O754" s="330"/>
      <c r="P754" s="330"/>
      <c r="Q754" s="330"/>
      <c r="R754" s="330"/>
      <c r="S754" s="331"/>
    </row>
    <row r="755" spans="1:19" ht="64.5" thickBot="1" x14ac:dyDescent="0.3">
      <c r="A755" s="16" t="s">
        <v>1272</v>
      </c>
      <c r="B755" s="42" t="s">
        <v>1273</v>
      </c>
      <c r="C755" s="17" t="s">
        <v>30</v>
      </c>
      <c r="D755" s="26">
        <v>3</v>
      </c>
      <c r="E755" s="26">
        <v>3</v>
      </c>
      <c r="F755" s="26"/>
      <c r="G755" s="26">
        <v>3</v>
      </c>
      <c r="H755" s="26">
        <v>3</v>
      </c>
      <c r="I755" s="264">
        <f t="shared" ref="I755:I760" si="57">SUM(F755/E755)</f>
        <v>0</v>
      </c>
      <c r="J755" s="48" t="s">
        <v>1274</v>
      </c>
      <c r="K755" s="19" t="s">
        <v>29</v>
      </c>
      <c r="L755" s="19">
        <v>100</v>
      </c>
      <c r="M755" s="111">
        <v>100</v>
      </c>
      <c r="N755" s="20"/>
      <c r="O755" s="20"/>
      <c r="P755" s="20"/>
      <c r="Q755" s="20"/>
      <c r="R755" s="48"/>
      <c r="S755" s="52"/>
    </row>
    <row r="756" spans="1:19" ht="51.75" thickBot="1" x14ac:dyDescent="0.3">
      <c r="A756" s="16" t="s">
        <v>1275</v>
      </c>
      <c r="B756" s="42" t="s">
        <v>1276</v>
      </c>
      <c r="C756" s="17" t="s">
        <v>30</v>
      </c>
      <c r="D756" s="26">
        <v>135.19999999999999</v>
      </c>
      <c r="E756" s="26">
        <v>135.19999999999999</v>
      </c>
      <c r="F756" s="26">
        <v>92.7</v>
      </c>
      <c r="G756" s="26">
        <v>42.5</v>
      </c>
      <c r="H756" s="26">
        <v>42.5</v>
      </c>
      <c r="I756" s="264">
        <f t="shared" si="57"/>
        <v>0.68565088757396453</v>
      </c>
      <c r="J756" s="48" t="s">
        <v>1042</v>
      </c>
      <c r="K756" s="19" t="s">
        <v>22</v>
      </c>
      <c r="L756" s="19">
        <v>1</v>
      </c>
      <c r="M756" s="111">
        <v>1</v>
      </c>
      <c r="N756" s="20"/>
      <c r="O756" s="20"/>
      <c r="P756" s="20"/>
      <c r="Q756" s="20"/>
      <c r="R756" s="48" t="s">
        <v>1906</v>
      </c>
      <c r="S756" s="52" t="s">
        <v>1907</v>
      </c>
    </row>
    <row r="757" spans="1:19" ht="95.25" customHeight="1" x14ac:dyDescent="0.25">
      <c r="A757" s="306" t="s">
        <v>1277</v>
      </c>
      <c r="B757" s="308" t="s">
        <v>1278</v>
      </c>
      <c r="C757" s="17"/>
      <c r="D757" s="18">
        <f>SUM(D758:D760)</f>
        <v>496.5</v>
      </c>
      <c r="E757" s="18">
        <f>SUM(E758:E760)</f>
        <v>496.5</v>
      </c>
      <c r="F757" s="18">
        <f>SUM(F758:F760)</f>
        <v>397.7</v>
      </c>
      <c r="G757" s="18">
        <f>SUM(G758:G760)+0.1</f>
        <v>98.799999999999983</v>
      </c>
      <c r="H757" s="18">
        <f>SUM(H758:H760)+0.1</f>
        <v>98.799999999999983</v>
      </c>
      <c r="I757" s="261">
        <f t="shared" si="57"/>
        <v>0.80100704934541789</v>
      </c>
      <c r="J757" s="48" t="s">
        <v>277</v>
      </c>
      <c r="K757" s="19" t="s">
        <v>22</v>
      </c>
      <c r="L757" s="19">
        <v>1</v>
      </c>
      <c r="M757" s="111">
        <v>1</v>
      </c>
      <c r="N757" s="20"/>
      <c r="O757" s="20"/>
      <c r="P757" s="20"/>
      <c r="Q757" s="20"/>
      <c r="R757" s="147"/>
      <c r="S757" s="120"/>
    </row>
    <row r="758" spans="1:19" ht="31.5" customHeight="1" x14ac:dyDescent="0.25">
      <c r="A758" s="406"/>
      <c r="B758" s="310"/>
      <c r="C758" s="22" t="s">
        <v>30</v>
      </c>
      <c r="D758" s="23">
        <v>175.4</v>
      </c>
      <c r="E758" s="23">
        <v>175.4</v>
      </c>
      <c r="F758" s="23">
        <v>76.7</v>
      </c>
      <c r="G758" s="23">
        <v>98.6</v>
      </c>
      <c r="H758" s="54">
        <v>98.6</v>
      </c>
      <c r="I758" s="262">
        <f t="shared" si="57"/>
        <v>0.4372862029646522</v>
      </c>
      <c r="J758" s="333" t="s">
        <v>1279</v>
      </c>
      <c r="K758" s="334" t="s">
        <v>282</v>
      </c>
      <c r="L758" s="334">
        <v>4</v>
      </c>
      <c r="M758" s="420">
        <v>0</v>
      </c>
      <c r="N758" s="25"/>
      <c r="O758" s="25"/>
      <c r="P758" s="25"/>
      <c r="Q758" s="25"/>
      <c r="R758" s="338" t="s">
        <v>1908</v>
      </c>
      <c r="S758" s="374" t="s">
        <v>1909</v>
      </c>
    </row>
    <row r="759" spans="1:19" x14ac:dyDescent="0.25">
      <c r="A759" s="406"/>
      <c r="B759" s="310"/>
      <c r="C759" s="22" t="s">
        <v>55</v>
      </c>
      <c r="D759" s="23">
        <v>23.8</v>
      </c>
      <c r="E759" s="23">
        <v>23.8</v>
      </c>
      <c r="F759" s="23">
        <v>23.8</v>
      </c>
      <c r="G759" s="23"/>
      <c r="H759" s="54"/>
      <c r="I759" s="262">
        <f t="shared" si="57"/>
        <v>1</v>
      </c>
      <c r="J759" s="315"/>
      <c r="K759" s="324"/>
      <c r="L759" s="324"/>
      <c r="M759" s="381"/>
      <c r="N759" s="25"/>
      <c r="O759" s="25"/>
      <c r="P759" s="25"/>
      <c r="Q759" s="25"/>
      <c r="R759" s="310"/>
      <c r="S759" s="318"/>
    </row>
    <row r="760" spans="1:19" ht="14.25" customHeight="1" thickBot="1" x14ac:dyDescent="0.3">
      <c r="A760" s="307"/>
      <c r="B760" s="309"/>
      <c r="C760" s="22" t="s">
        <v>481</v>
      </c>
      <c r="D760" s="23">
        <v>297.3</v>
      </c>
      <c r="E760" s="23">
        <v>297.3</v>
      </c>
      <c r="F760" s="23">
        <v>297.2</v>
      </c>
      <c r="G760" s="23">
        <v>0.1</v>
      </c>
      <c r="H760" s="23">
        <v>0.1</v>
      </c>
      <c r="I760" s="279">
        <f t="shared" si="57"/>
        <v>0.99966363942145975</v>
      </c>
      <c r="J760" s="316"/>
      <c r="K760" s="325"/>
      <c r="L760" s="325"/>
      <c r="M760" s="382"/>
      <c r="N760" s="25"/>
      <c r="O760" s="25"/>
      <c r="P760" s="25"/>
      <c r="Q760" s="25"/>
      <c r="R760" s="309"/>
      <c r="S760" s="319"/>
    </row>
    <row r="761" spans="1:19" ht="26.25" hidden="1" thickBot="1" x14ac:dyDescent="0.3">
      <c r="A761" s="16" t="s">
        <v>1280</v>
      </c>
      <c r="B761" s="42" t="s">
        <v>1281</v>
      </c>
      <c r="C761" s="17"/>
      <c r="D761" s="26"/>
      <c r="E761" s="26"/>
      <c r="F761" s="26"/>
      <c r="G761" s="26"/>
      <c r="H761" s="26"/>
      <c r="I761" s="281"/>
      <c r="J761" s="48" t="s">
        <v>1058</v>
      </c>
      <c r="K761" s="19" t="s">
        <v>282</v>
      </c>
      <c r="L761" s="19">
        <v>0</v>
      </c>
      <c r="M761" s="19">
        <v>0</v>
      </c>
      <c r="N761" s="20"/>
      <c r="O761" s="20"/>
      <c r="P761" s="20"/>
      <c r="Q761" s="20"/>
      <c r="R761" s="48" t="s">
        <v>1282</v>
      </c>
      <c r="S761" s="52"/>
    </row>
    <row r="762" spans="1:19" ht="51.75" hidden="1" thickBot="1" x14ac:dyDescent="0.3">
      <c r="A762" s="16" t="s">
        <v>1283</v>
      </c>
      <c r="B762" s="42" t="s">
        <v>1284</v>
      </c>
      <c r="C762" s="17"/>
      <c r="D762" s="26"/>
      <c r="E762" s="26"/>
      <c r="F762" s="26"/>
      <c r="G762" s="26"/>
      <c r="H762" s="26"/>
      <c r="I762" s="281"/>
      <c r="J762" s="48"/>
      <c r="K762" s="19"/>
      <c r="L762" s="19"/>
      <c r="M762" s="19"/>
      <c r="N762" s="20"/>
      <c r="O762" s="20"/>
      <c r="P762" s="20"/>
      <c r="Q762" s="20"/>
      <c r="R762" s="48"/>
      <c r="S762" s="52"/>
    </row>
    <row r="763" spans="1:19" ht="26.25" customHeight="1" x14ac:dyDescent="0.25">
      <c r="A763" s="306" t="s">
        <v>1285</v>
      </c>
      <c r="B763" s="308" t="s">
        <v>1286</v>
      </c>
      <c r="C763" s="17"/>
      <c r="D763" s="18">
        <f>SUM(D764:D765)</f>
        <v>209.6</v>
      </c>
      <c r="E763" s="18">
        <f>SUM(E764:E765)</f>
        <v>209.6</v>
      </c>
      <c r="F763" s="18">
        <f>SUM(F764:F765)</f>
        <v>209.6</v>
      </c>
      <c r="G763" s="18"/>
      <c r="H763" s="18"/>
      <c r="I763" s="261">
        <f t="shared" ref="I763:I766" si="58">SUM(F763/E763)</f>
        <v>1</v>
      </c>
      <c r="J763" s="314" t="s">
        <v>1287</v>
      </c>
      <c r="K763" s="323" t="s">
        <v>29</v>
      </c>
      <c r="L763" s="323">
        <v>100</v>
      </c>
      <c r="M763" s="347">
        <v>100</v>
      </c>
      <c r="N763" s="20"/>
      <c r="O763" s="20"/>
      <c r="P763" s="20"/>
      <c r="Q763" s="20"/>
      <c r="R763" s="320"/>
      <c r="S763" s="303"/>
    </row>
    <row r="764" spans="1:19" x14ac:dyDescent="0.25">
      <c r="A764" s="406"/>
      <c r="B764" s="310"/>
      <c r="C764" s="22" t="s">
        <v>32</v>
      </c>
      <c r="D764" s="23">
        <v>144</v>
      </c>
      <c r="E764" s="23">
        <v>144</v>
      </c>
      <c r="F764" s="23">
        <v>144</v>
      </c>
      <c r="G764" s="23"/>
      <c r="H764" s="54"/>
      <c r="I764" s="262">
        <f t="shared" si="58"/>
        <v>1</v>
      </c>
      <c r="J764" s="315"/>
      <c r="K764" s="324"/>
      <c r="L764" s="324"/>
      <c r="M764" s="348"/>
      <c r="N764" s="25"/>
      <c r="O764" s="25"/>
      <c r="P764" s="25"/>
      <c r="Q764" s="25"/>
      <c r="R764" s="321"/>
      <c r="S764" s="304"/>
    </row>
    <row r="765" spans="1:19" ht="15.75" thickBot="1" x14ac:dyDescent="0.3">
      <c r="A765" s="307"/>
      <c r="B765" s="309"/>
      <c r="C765" s="22" t="s">
        <v>30</v>
      </c>
      <c r="D765" s="23">
        <v>65.599999999999994</v>
      </c>
      <c r="E765" s="23">
        <v>65.599999999999994</v>
      </c>
      <c r="F765" s="23">
        <v>65.599999999999994</v>
      </c>
      <c r="G765" s="23"/>
      <c r="H765" s="23"/>
      <c r="I765" s="279">
        <f t="shared" si="58"/>
        <v>1</v>
      </c>
      <c r="J765" s="316"/>
      <c r="K765" s="325"/>
      <c r="L765" s="325"/>
      <c r="M765" s="349"/>
      <c r="N765" s="25"/>
      <c r="O765" s="25"/>
      <c r="P765" s="25"/>
      <c r="Q765" s="25"/>
      <c r="R765" s="322"/>
      <c r="S765" s="305"/>
    </row>
    <row r="766" spans="1:19" ht="64.5" thickBot="1" x14ac:dyDescent="0.3">
      <c r="A766" s="16" t="s">
        <v>1288</v>
      </c>
      <c r="B766" s="42" t="s">
        <v>1289</v>
      </c>
      <c r="C766" s="17" t="s">
        <v>32</v>
      </c>
      <c r="D766" s="26">
        <v>150</v>
      </c>
      <c r="E766" s="26">
        <v>150</v>
      </c>
      <c r="F766" s="26">
        <v>150</v>
      </c>
      <c r="G766" s="26"/>
      <c r="H766" s="26"/>
      <c r="I766" s="264">
        <f t="shared" si="58"/>
        <v>1</v>
      </c>
      <c r="J766" s="70" t="s">
        <v>1290</v>
      </c>
      <c r="K766" s="74" t="s">
        <v>29</v>
      </c>
      <c r="L766" s="74">
        <v>100</v>
      </c>
      <c r="M766" s="138">
        <v>100</v>
      </c>
      <c r="N766" s="75"/>
      <c r="O766" s="75"/>
      <c r="P766" s="75"/>
      <c r="Q766" s="75"/>
      <c r="R766" s="189"/>
      <c r="S766" s="69"/>
    </row>
    <row r="767" spans="1:19" ht="39" thickBot="1" x14ac:dyDescent="0.3">
      <c r="A767" s="13" t="s">
        <v>1291</v>
      </c>
      <c r="B767" s="41" t="s">
        <v>1292</v>
      </c>
      <c r="C767" s="14"/>
      <c r="D767" s="15">
        <f>D768+D792+D807+D811+D812+D813+D818+D820</f>
        <v>49352.600000000006</v>
      </c>
      <c r="E767" s="15">
        <f>E768+E792+E807+E811+E812+E813+E818+E820</f>
        <v>49352.600000000006</v>
      </c>
      <c r="F767" s="15">
        <f>F768+F792+F807+F811+F812+F813+F818+F820-0.1</f>
        <v>47798.8</v>
      </c>
      <c r="G767" s="15">
        <f>G768+G792+G807+G811+G812+G813+G818+G820+0.1</f>
        <v>1553.8</v>
      </c>
      <c r="H767" s="15">
        <f>H768+H792+H807+H811+H812+H813+H818+H820+0.1</f>
        <v>1553.8</v>
      </c>
      <c r="I767" s="284">
        <f>SUM(F767/E767)</f>
        <v>0.96851634969586198</v>
      </c>
      <c r="J767" s="418"/>
      <c r="K767" s="418"/>
      <c r="L767" s="418"/>
      <c r="M767" s="418"/>
      <c r="N767" s="418"/>
      <c r="O767" s="418"/>
      <c r="P767" s="418"/>
      <c r="Q767" s="418"/>
      <c r="R767" s="418"/>
      <c r="S767" s="419"/>
    </row>
    <row r="768" spans="1:19" ht="38.25" x14ac:dyDescent="0.25">
      <c r="A768" s="306" t="s">
        <v>1293</v>
      </c>
      <c r="B768" s="308" t="s">
        <v>1294</v>
      </c>
      <c r="C768" s="17"/>
      <c r="D768" s="18">
        <f>D769+D770+D774+D776+D778+D780+D782+D785+D788+D789+D790+D791</f>
        <v>6618.8</v>
      </c>
      <c r="E768" s="18">
        <f>E769+E770+E774+E776+E778+E780+E782+E785+E788+E789+E790+E791</f>
        <v>6618.8</v>
      </c>
      <c r="F768" s="18">
        <f>F769+F770+F774+F776+F778+F780+F782+F785+F788+F789+F790+F791</f>
        <v>5606.7000000000007</v>
      </c>
      <c r="G768" s="18">
        <f>G769+G770+G774+G776+G778+G780+G782+G785+G788+G789+G790+G791</f>
        <v>1012.0999999999999</v>
      </c>
      <c r="H768" s="18">
        <f>H769+H770+H774+H776+H778+H780+H782+H785+H788+H789+H790+H791</f>
        <v>1012.0999999999999</v>
      </c>
      <c r="I768" s="264">
        <f t="shared" ref="I768:I822" si="59">SUM(F768/E768)</f>
        <v>0.84708708527225485</v>
      </c>
      <c r="J768" s="76" t="s">
        <v>1295</v>
      </c>
      <c r="K768" s="77" t="s">
        <v>57</v>
      </c>
      <c r="L768" s="100">
        <v>19500</v>
      </c>
      <c r="M768" s="142">
        <v>20899</v>
      </c>
      <c r="N768" s="78"/>
      <c r="O768" s="78"/>
      <c r="P768" s="78"/>
      <c r="Q768" s="78"/>
      <c r="R768" s="79" t="s">
        <v>1296</v>
      </c>
      <c r="S768" s="150"/>
    </row>
    <row r="769" spans="1:19" ht="26.25" thickBot="1" x14ac:dyDescent="0.3">
      <c r="A769" s="307"/>
      <c r="B769" s="309"/>
      <c r="C769" s="22"/>
      <c r="D769" s="23"/>
      <c r="E769" s="23"/>
      <c r="F769" s="23"/>
      <c r="G769" s="23"/>
      <c r="H769" s="23"/>
      <c r="I769" s="279"/>
      <c r="J769" s="49" t="s">
        <v>1297</v>
      </c>
      <c r="K769" s="24" t="s">
        <v>57</v>
      </c>
      <c r="L769" s="94">
        <v>1640</v>
      </c>
      <c r="M769" s="131">
        <v>1256</v>
      </c>
      <c r="N769" s="25"/>
      <c r="O769" s="25"/>
      <c r="P769" s="25"/>
      <c r="Q769" s="25"/>
      <c r="R769" s="49"/>
      <c r="S769" s="72" t="s">
        <v>1706</v>
      </c>
    </row>
    <row r="770" spans="1:19" x14ac:dyDescent="0.25">
      <c r="A770" s="306" t="s">
        <v>1298</v>
      </c>
      <c r="B770" s="308" t="s">
        <v>1299</v>
      </c>
      <c r="C770" s="17"/>
      <c r="D770" s="18">
        <f>SUM(D771:D773)</f>
        <v>3373</v>
      </c>
      <c r="E770" s="18">
        <f>SUM(E771:E773)</f>
        <v>3373</v>
      </c>
      <c r="F770" s="18">
        <f>SUM(F771:F773)-0.1</f>
        <v>2827.9</v>
      </c>
      <c r="G770" s="18">
        <f>SUM(G771:G773)+0.1</f>
        <v>545.1</v>
      </c>
      <c r="H770" s="18">
        <f>SUM(H771:H773)+0.1</f>
        <v>545.1</v>
      </c>
      <c r="I770" s="261">
        <f t="shared" si="59"/>
        <v>0.83839312184998516</v>
      </c>
      <c r="J770" s="314" t="s">
        <v>1300</v>
      </c>
      <c r="K770" s="323" t="s">
        <v>57</v>
      </c>
      <c r="L770" s="340">
        <v>5500</v>
      </c>
      <c r="M770" s="357">
        <v>6077</v>
      </c>
      <c r="N770" s="20"/>
      <c r="O770" s="20"/>
      <c r="P770" s="20"/>
      <c r="Q770" s="20"/>
      <c r="R770" s="308" t="s">
        <v>1296</v>
      </c>
      <c r="S770" s="317"/>
    </row>
    <row r="771" spans="1:19" x14ac:dyDescent="0.25">
      <c r="A771" s="406"/>
      <c r="B771" s="310"/>
      <c r="C771" s="22" t="s">
        <v>55</v>
      </c>
      <c r="D771" s="23">
        <v>600</v>
      </c>
      <c r="E771" s="23">
        <v>600</v>
      </c>
      <c r="F771" s="23">
        <v>213</v>
      </c>
      <c r="G771" s="23">
        <v>387</v>
      </c>
      <c r="H771" s="54">
        <v>387</v>
      </c>
      <c r="I771" s="262">
        <f t="shared" si="59"/>
        <v>0.35499999999999998</v>
      </c>
      <c r="J771" s="315"/>
      <c r="K771" s="324"/>
      <c r="L771" s="341"/>
      <c r="M771" s="358"/>
      <c r="N771" s="25"/>
      <c r="O771" s="25"/>
      <c r="P771" s="25"/>
      <c r="Q771" s="25"/>
      <c r="R771" s="310"/>
      <c r="S771" s="318"/>
    </row>
    <row r="772" spans="1:19" x14ac:dyDescent="0.25">
      <c r="A772" s="406"/>
      <c r="B772" s="310"/>
      <c r="C772" s="22" t="s">
        <v>32</v>
      </c>
      <c r="D772" s="23">
        <v>400</v>
      </c>
      <c r="E772" s="23">
        <v>400</v>
      </c>
      <c r="F772" s="23">
        <v>242</v>
      </c>
      <c r="G772" s="23">
        <v>158</v>
      </c>
      <c r="H772" s="54">
        <v>158</v>
      </c>
      <c r="I772" s="262">
        <f t="shared" si="59"/>
        <v>0.60499999999999998</v>
      </c>
      <c r="J772" s="315"/>
      <c r="K772" s="324"/>
      <c r="L772" s="341"/>
      <c r="M772" s="358"/>
      <c r="N772" s="25"/>
      <c r="O772" s="25"/>
      <c r="P772" s="25"/>
      <c r="Q772" s="25"/>
      <c r="R772" s="310"/>
      <c r="S772" s="318"/>
    </row>
    <row r="773" spans="1:19" ht="15.75" thickBot="1" x14ac:dyDescent="0.3">
      <c r="A773" s="307"/>
      <c r="B773" s="309"/>
      <c r="C773" s="22" t="s">
        <v>30</v>
      </c>
      <c r="D773" s="23">
        <v>2373</v>
      </c>
      <c r="E773" s="23">
        <v>2373</v>
      </c>
      <c r="F773" s="23">
        <v>2373</v>
      </c>
      <c r="G773" s="23"/>
      <c r="H773" s="23"/>
      <c r="I773" s="279">
        <f t="shared" si="59"/>
        <v>1</v>
      </c>
      <c r="J773" s="316"/>
      <c r="K773" s="325"/>
      <c r="L773" s="342"/>
      <c r="M773" s="359"/>
      <c r="N773" s="25"/>
      <c r="O773" s="25"/>
      <c r="P773" s="25"/>
      <c r="Q773" s="25"/>
      <c r="R773" s="309"/>
      <c r="S773" s="421"/>
    </row>
    <row r="774" spans="1:19" ht="25.5" customHeight="1" x14ac:dyDescent="0.25">
      <c r="A774" s="306" t="s">
        <v>1301</v>
      </c>
      <c r="B774" s="308" t="s">
        <v>1302</v>
      </c>
      <c r="C774" s="17"/>
      <c r="D774" s="18">
        <f>SUM(D775:D775)</f>
        <v>1400</v>
      </c>
      <c r="E774" s="18">
        <f>SUM(E775:E775)</f>
        <v>1400</v>
      </c>
      <c r="F774" s="18">
        <f>SUM(F775:F775)</f>
        <v>1343.9</v>
      </c>
      <c r="G774" s="18">
        <f>SUM(G775:G775)</f>
        <v>56.1</v>
      </c>
      <c r="H774" s="18">
        <f>SUM(H775:H775)</f>
        <v>56.1</v>
      </c>
      <c r="I774" s="264">
        <f t="shared" si="59"/>
        <v>0.95992857142857146</v>
      </c>
      <c r="J774" s="308" t="s">
        <v>1300</v>
      </c>
      <c r="K774" s="323" t="s">
        <v>57</v>
      </c>
      <c r="L774" s="340">
        <v>16000</v>
      </c>
      <c r="M774" s="343">
        <v>8717</v>
      </c>
      <c r="N774" s="20"/>
      <c r="O774" s="20"/>
      <c r="P774" s="20"/>
      <c r="Q774" s="20"/>
      <c r="R774" s="320"/>
      <c r="S774" s="345" t="s">
        <v>1706</v>
      </c>
    </row>
    <row r="775" spans="1:19" ht="15.75" thickBot="1" x14ac:dyDescent="0.3">
      <c r="A775" s="307"/>
      <c r="B775" s="309"/>
      <c r="C775" s="22" t="s">
        <v>30</v>
      </c>
      <c r="D775" s="23">
        <v>1400</v>
      </c>
      <c r="E775" s="23">
        <v>1400</v>
      </c>
      <c r="F775" s="23">
        <v>1343.9</v>
      </c>
      <c r="G775" s="23">
        <v>56.1</v>
      </c>
      <c r="H775" s="23">
        <v>56.1</v>
      </c>
      <c r="I775" s="279">
        <f t="shared" si="59"/>
        <v>0.95992857142857146</v>
      </c>
      <c r="J775" s="309"/>
      <c r="K775" s="325"/>
      <c r="L775" s="342"/>
      <c r="M775" s="344"/>
      <c r="N775" s="25"/>
      <c r="O775" s="25"/>
      <c r="P775" s="25"/>
      <c r="Q775" s="25"/>
      <c r="R775" s="322"/>
      <c r="S775" s="327"/>
    </row>
    <row r="776" spans="1:19" ht="25.5" customHeight="1" x14ac:dyDescent="0.25">
      <c r="A776" s="306" t="s">
        <v>1303</v>
      </c>
      <c r="B776" s="308" t="s">
        <v>1304</v>
      </c>
      <c r="C776" s="17"/>
      <c r="D776" s="18">
        <f>SUM(D777:D777)</f>
        <v>45</v>
      </c>
      <c r="E776" s="18">
        <f>SUM(E777:E777)</f>
        <v>45</v>
      </c>
      <c r="F776" s="18">
        <f>SUM(F777:F777)</f>
        <v>40.6</v>
      </c>
      <c r="G776" s="18">
        <f>SUM(G777:G777)</f>
        <v>4.4000000000000004</v>
      </c>
      <c r="H776" s="18">
        <f>SUM(H777:H777)</f>
        <v>4.4000000000000004</v>
      </c>
      <c r="I776" s="264">
        <f t="shared" si="59"/>
        <v>0.90222222222222226</v>
      </c>
      <c r="J776" s="308" t="s">
        <v>1300</v>
      </c>
      <c r="K776" s="323" t="s">
        <v>57</v>
      </c>
      <c r="L776" s="340">
        <v>5500</v>
      </c>
      <c r="M776" s="343">
        <v>3463</v>
      </c>
      <c r="N776" s="20"/>
      <c r="O776" s="20"/>
      <c r="P776" s="20"/>
      <c r="Q776" s="20"/>
      <c r="R776" s="320"/>
      <c r="S776" s="326" t="s">
        <v>1720</v>
      </c>
    </row>
    <row r="777" spans="1:19" ht="15.75" thickBot="1" x14ac:dyDescent="0.3">
      <c r="A777" s="307"/>
      <c r="B777" s="309"/>
      <c r="C777" s="22" t="s">
        <v>30</v>
      </c>
      <c r="D777" s="23">
        <v>45</v>
      </c>
      <c r="E777" s="23">
        <v>45</v>
      </c>
      <c r="F777" s="23">
        <v>40.6</v>
      </c>
      <c r="G777" s="23">
        <v>4.4000000000000004</v>
      </c>
      <c r="H777" s="23">
        <v>4.4000000000000004</v>
      </c>
      <c r="I777" s="279">
        <f t="shared" si="59"/>
        <v>0.90222222222222226</v>
      </c>
      <c r="J777" s="309"/>
      <c r="K777" s="325"/>
      <c r="L777" s="342"/>
      <c r="M777" s="344"/>
      <c r="N777" s="25"/>
      <c r="O777" s="25"/>
      <c r="P777" s="25"/>
      <c r="Q777" s="25"/>
      <c r="R777" s="322"/>
      <c r="S777" s="327"/>
    </row>
    <row r="778" spans="1:19" ht="25.5" customHeight="1" x14ac:dyDescent="0.25">
      <c r="A778" s="306" t="s">
        <v>1305</v>
      </c>
      <c r="B778" s="308" t="s">
        <v>1306</v>
      </c>
      <c r="C778" s="17"/>
      <c r="D778" s="18">
        <f>SUM(D779:D779)</f>
        <v>15</v>
      </c>
      <c r="E778" s="18">
        <f>SUM(E779:E779)</f>
        <v>15</v>
      </c>
      <c r="F778" s="18">
        <f>SUM(F779:F779)</f>
        <v>11.6</v>
      </c>
      <c r="G778" s="18">
        <f>SUM(G779:G779)</f>
        <v>3.4</v>
      </c>
      <c r="H778" s="18">
        <f>SUM(H779:H779)</f>
        <v>3.4</v>
      </c>
      <c r="I778" s="264">
        <f t="shared" si="59"/>
        <v>0.77333333333333332</v>
      </c>
      <c r="J778" s="308" t="s">
        <v>1300</v>
      </c>
      <c r="K778" s="323" t="s">
        <v>57</v>
      </c>
      <c r="L778" s="340">
        <v>3000</v>
      </c>
      <c r="M778" s="479">
        <v>905</v>
      </c>
      <c r="N778" s="20"/>
      <c r="O778" s="20"/>
      <c r="P778" s="20"/>
      <c r="Q778" s="20"/>
      <c r="R778" s="320"/>
      <c r="S778" s="326" t="s">
        <v>1720</v>
      </c>
    </row>
    <row r="779" spans="1:19" ht="15.75" thickBot="1" x14ac:dyDescent="0.3">
      <c r="A779" s="307"/>
      <c r="B779" s="309"/>
      <c r="C779" s="22" t="s">
        <v>30</v>
      </c>
      <c r="D779" s="23">
        <v>15</v>
      </c>
      <c r="E779" s="23">
        <v>15</v>
      </c>
      <c r="F779" s="23">
        <v>11.6</v>
      </c>
      <c r="G779" s="23">
        <v>3.4</v>
      </c>
      <c r="H779" s="23">
        <v>3.4</v>
      </c>
      <c r="I779" s="279">
        <f t="shared" si="59"/>
        <v>0.77333333333333332</v>
      </c>
      <c r="J779" s="309"/>
      <c r="K779" s="325"/>
      <c r="L779" s="342"/>
      <c r="M779" s="480"/>
      <c r="N779" s="25"/>
      <c r="O779" s="25"/>
      <c r="P779" s="25"/>
      <c r="Q779" s="25"/>
      <c r="R779" s="322"/>
      <c r="S779" s="327"/>
    </row>
    <row r="780" spans="1:19" ht="52.5" customHeight="1" x14ac:dyDescent="0.25">
      <c r="A780" s="306" t="s">
        <v>1307</v>
      </c>
      <c r="B780" s="308" t="s">
        <v>1308</v>
      </c>
      <c r="C780" s="17"/>
      <c r="D780" s="18">
        <f>SUM(D781:D781)</f>
        <v>140</v>
      </c>
      <c r="E780" s="18">
        <f>SUM(E781:E781)</f>
        <v>140</v>
      </c>
      <c r="F780" s="18">
        <f>SUM(F781:F781)</f>
        <v>137.69999999999999</v>
      </c>
      <c r="G780" s="18">
        <f>SUM(G781:G781)</f>
        <v>2.2999999999999998</v>
      </c>
      <c r="H780" s="18">
        <f>SUM(H781:H781)</f>
        <v>2.2999999999999998</v>
      </c>
      <c r="I780" s="264">
        <f t="shared" si="59"/>
        <v>0.98357142857142854</v>
      </c>
      <c r="J780" s="308" t="s">
        <v>1300</v>
      </c>
      <c r="K780" s="323" t="s">
        <v>57</v>
      </c>
      <c r="L780" s="323">
        <v>300</v>
      </c>
      <c r="M780" s="354">
        <v>283</v>
      </c>
      <c r="N780" s="20"/>
      <c r="O780" s="20"/>
      <c r="P780" s="20"/>
      <c r="Q780" s="20"/>
      <c r="R780" s="320"/>
      <c r="S780" s="326" t="s">
        <v>1720</v>
      </c>
    </row>
    <row r="781" spans="1:19" ht="15.75" thickBot="1" x14ac:dyDescent="0.3">
      <c r="A781" s="307"/>
      <c r="B781" s="309"/>
      <c r="C781" s="22" t="s">
        <v>30</v>
      </c>
      <c r="D781" s="23">
        <v>140</v>
      </c>
      <c r="E781" s="23">
        <v>140</v>
      </c>
      <c r="F781" s="23">
        <v>137.69999999999999</v>
      </c>
      <c r="G781" s="23">
        <v>2.2999999999999998</v>
      </c>
      <c r="H781" s="23">
        <v>2.2999999999999998</v>
      </c>
      <c r="I781" s="279">
        <f t="shared" si="59"/>
        <v>0.98357142857142854</v>
      </c>
      <c r="J781" s="309"/>
      <c r="K781" s="325"/>
      <c r="L781" s="325"/>
      <c r="M781" s="356"/>
      <c r="N781" s="25"/>
      <c r="O781" s="25"/>
      <c r="P781" s="25"/>
      <c r="Q781" s="25"/>
      <c r="R781" s="322"/>
      <c r="S781" s="327"/>
    </row>
    <row r="782" spans="1:19" x14ac:dyDescent="0.25">
      <c r="A782" s="306" t="s">
        <v>1309</v>
      </c>
      <c r="B782" s="308" t="s">
        <v>1310</v>
      </c>
      <c r="C782" s="17"/>
      <c r="D782" s="18">
        <f>SUM(D783:D784)</f>
        <v>666.8</v>
      </c>
      <c r="E782" s="18">
        <f>SUM(E783:E784)</f>
        <v>666.8</v>
      </c>
      <c r="F782" s="18">
        <f>SUM(F783:F784)+0.1</f>
        <v>551</v>
      </c>
      <c r="G782" s="18">
        <f>SUM(G783:G784)-0.1</f>
        <v>115.80000000000001</v>
      </c>
      <c r="H782" s="18">
        <f>SUM(H783:H784)-0.1</f>
        <v>115.80000000000001</v>
      </c>
      <c r="I782" s="261">
        <f t="shared" si="59"/>
        <v>0.82633473305338934</v>
      </c>
      <c r="J782" s="314" t="s">
        <v>1300</v>
      </c>
      <c r="K782" s="323" t="s">
        <v>57</v>
      </c>
      <c r="L782" s="340">
        <v>1640</v>
      </c>
      <c r="M782" s="343">
        <v>1254</v>
      </c>
      <c r="N782" s="20"/>
      <c r="O782" s="20"/>
      <c r="P782" s="20"/>
      <c r="Q782" s="20"/>
      <c r="R782" s="320"/>
      <c r="S782" s="326" t="s">
        <v>1720</v>
      </c>
    </row>
    <row r="783" spans="1:19" x14ac:dyDescent="0.25">
      <c r="A783" s="406"/>
      <c r="B783" s="310"/>
      <c r="C783" s="22" t="s">
        <v>55</v>
      </c>
      <c r="D783" s="23">
        <v>3</v>
      </c>
      <c r="E783" s="23">
        <v>3</v>
      </c>
      <c r="F783" s="23">
        <v>1.3</v>
      </c>
      <c r="G783" s="23">
        <v>1.7</v>
      </c>
      <c r="H783" s="54">
        <v>1.7</v>
      </c>
      <c r="I783" s="262">
        <f t="shared" si="59"/>
        <v>0.43333333333333335</v>
      </c>
      <c r="J783" s="315"/>
      <c r="K783" s="324"/>
      <c r="L783" s="341"/>
      <c r="M783" s="466"/>
      <c r="N783" s="25"/>
      <c r="O783" s="25"/>
      <c r="P783" s="25"/>
      <c r="Q783" s="25"/>
      <c r="R783" s="321"/>
      <c r="S783" s="332"/>
    </row>
    <row r="784" spans="1:19" ht="15.75" thickBot="1" x14ac:dyDescent="0.3">
      <c r="A784" s="307"/>
      <c r="B784" s="309"/>
      <c r="C784" s="22" t="s">
        <v>697</v>
      </c>
      <c r="D784" s="23">
        <v>663.8</v>
      </c>
      <c r="E784" s="23">
        <v>663.8</v>
      </c>
      <c r="F784" s="23">
        <v>549.6</v>
      </c>
      <c r="G784" s="23">
        <v>114.2</v>
      </c>
      <c r="H784" s="23">
        <v>114.2</v>
      </c>
      <c r="I784" s="279">
        <f t="shared" si="59"/>
        <v>0.82796022898463406</v>
      </c>
      <c r="J784" s="316"/>
      <c r="K784" s="325"/>
      <c r="L784" s="342"/>
      <c r="M784" s="344"/>
      <c r="N784" s="25"/>
      <c r="O784" s="25"/>
      <c r="P784" s="25"/>
      <c r="Q784" s="25"/>
      <c r="R784" s="322"/>
      <c r="S784" s="327"/>
    </row>
    <row r="785" spans="1:19" ht="26.25" customHeight="1" x14ac:dyDescent="0.25">
      <c r="A785" s="306" t="s">
        <v>1311</v>
      </c>
      <c r="B785" s="308" t="s">
        <v>1312</v>
      </c>
      <c r="C785" s="17"/>
      <c r="D785" s="18">
        <f>SUM(D786:D787)</f>
        <v>650</v>
      </c>
      <c r="E785" s="18">
        <f>SUM(E786:E787)</f>
        <v>650</v>
      </c>
      <c r="F785" s="18">
        <f>SUM(F786:F787)</f>
        <v>575.5</v>
      </c>
      <c r="G785" s="18">
        <f>SUM(G786:G787)</f>
        <v>74.5</v>
      </c>
      <c r="H785" s="18">
        <f>SUM(H786:H787)</f>
        <v>74.5</v>
      </c>
      <c r="I785" s="261">
        <f t="shared" si="59"/>
        <v>0.88538461538461544</v>
      </c>
      <c r="J785" s="314" t="s">
        <v>1300</v>
      </c>
      <c r="K785" s="323" t="s">
        <v>57</v>
      </c>
      <c r="L785" s="340">
        <v>2900</v>
      </c>
      <c r="M785" s="343">
        <v>1843</v>
      </c>
      <c r="N785" s="20"/>
      <c r="O785" s="20"/>
      <c r="P785" s="20"/>
      <c r="Q785" s="20"/>
      <c r="R785" s="320"/>
      <c r="S785" s="326" t="s">
        <v>1720</v>
      </c>
    </row>
    <row r="786" spans="1:19" x14ac:dyDescent="0.25">
      <c r="A786" s="406"/>
      <c r="B786" s="310"/>
      <c r="C786" s="22" t="s">
        <v>30</v>
      </c>
      <c r="D786" s="23">
        <v>600</v>
      </c>
      <c r="E786" s="23">
        <v>600</v>
      </c>
      <c r="F786" s="23">
        <v>575.5</v>
      </c>
      <c r="G786" s="23">
        <v>24.5</v>
      </c>
      <c r="H786" s="54">
        <v>24.5</v>
      </c>
      <c r="I786" s="262">
        <f t="shared" si="59"/>
        <v>0.95916666666666661</v>
      </c>
      <c r="J786" s="315"/>
      <c r="K786" s="324"/>
      <c r="L786" s="341"/>
      <c r="M786" s="466"/>
      <c r="N786" s="25"/>
      <c r="O786" s="25"/>
      <c r="P786" s="25"/>
      <c r="Q786" s="25"/>
      <c r="R786" s="321"/>
      <c r="S786" s="332"/>
    </row>
    <row r="787" spans="1:19" ht="15.75" thickBot="1" x14ac:dyDescent="0.3">
      <c r="A787" s="307"/>
      <c r="B787" s="309"/>
      <c r="C787" s="22" t="s">
        <v>32</v>
      </c>
      <c r="D787" s="23">
        <v>50</v>
      </c>
      <c r="E787" s="23">
        <v>50</v>
      </c>
      <c r="F787" s="23"/>
      <c r="G787" s="23">
        <v>50</v>
      </c>
      <c r="H787" s="23">
        <v>50</v>
      </c>
      <c r="I787" s="279">
        <f t="shared" si="59"/>
        <v>0</v>
      </c>
      <c r="J787" s="316"/>
      <c r="K787" s="325"/>
      <c r="L787" s="342"/>
      <c r="M787" s="344"/>
      <c r="N787" s="25"/>
      <c r="O787" s="25"/>
      <c r="P787" s="25"/>
      <c r="Q787" s="25"/>
      <c r="R787" s="322"/>
      <c r="S787" s="327"/>
    </row>
    <row r="788" spans="1:19" ht="14.25" customHeight="1" thickBot="1" x14ac:dyDescent="0.3">
      <c r="A788" s="16" t="s">
        <v>1313</v>
      </c>
      <c r="B788" s="42" t="s">
        <v>1314</v>
      </c>
      <c r="C788" s="17" t="s">
        <v>697</v>
      </c>
      <c r="D788" s="26">
        <v>39</v>
      </c>
      <c r="E788" s="26">
        <v>39</v>
      </c>
      <c r="F788" s="26">
        <v>22.9</v>
      </c>
      <c r="G788" s="26">
        <v>16.100000000000001</v>
      </c>
      <c r="H788" s="26">
        <v>16.100000000000001</v>
      </c>
      <c r="I788" s="264">
        <f t="shared" si="59"/>
        <v>0.58717948717948709</v>
      </c>
      <c r="J788" s="48" t="s">
        <v>1300</v>
      </c>
      <c r="K788" s="19" t="s">
        <v>57</v>
      </c>
      <c r="L788" s="19">
        <v>10</v>
      </c>
      <c r="M788" s="107">
        <v>9</v>
      </c>
      <c r="N788" s="20"/>
      <c r="O788" s="20"/>
      <c r="P788" s="20"/>
      <c r="Q788" s="20"/>
      <c r="R788" s="147"/>
      <c r="S788" s="52" t="s">
        <v>1720</v>
      </c>
    </row>
    <row r="789" spans="1:19" ht="39" hidden="1" thickBot="1" x14ac:dyDescent="0.3">
      <c r="A789" s="16" t="s">
        <v>1315</v>
      </c>
      <c r="B789" s="42" t="s">
        <v>1316</v>
      </c>
      <c r="C789" s="17"/>
      <c r="D789" s="26"/>
      <c r="E789" s="26"/>
      <c r="F789" s="26"/>
      <c r="G789" s="26"/>
      <c r="H789" s="26"/>
      <c r="I789" s="264"/>
      <c r="J789" s="48" t="s">
        <v>1300</v>
      </c>
      <c r="K789" s="19" t="s">
        <v>57</v>
      </c>
      <c r="L789" s="19">
        <v>1</v>
      </c>
      <c r="M789" s="19">
        <v>0</v>
      </c>
      <c r="N789" s="20"/>
      <c r="O789" s="20"/>
      <c r="P789" s="20"/>
      <c r="Q789" s="20"/>
      <c r="R789" s="48"/>
      <c r="S789" s="52"/>
    </row>
    <row r="790" spans="1:19" ht="115.5" thickBot="1" x14ac:dyDescent="0.3">
      <c r="A790" s="16" t="s">
        <v>1317</v>
      </c>
      <c r="B790" s="42" t="s">
        <v>1318</v>
      </c>
      <c r="C790" s="17" t="s">
        <v>55</v>
      </c>
      <c r="D790" s="26">
        <v>220</v>
      </c>
      <c r="E790" s="26">
        <v>220</v>
      </c>
      <c r="F790" s="26">
        <v>85.3</v>
      </c>
      <c r="G790" s="26">
        <v>134.69999999999999</v>
      </c>
      <c r="H790" s="26">
        <v>134.69999999999999</v>
      </c>
      <c r="I790" s="264">
        <f t="shared" si="59"/>
        <v>0.3877272727272727</v>
      </c>
      <c r="J790" s="48" t="s">
        <v>1300</v>
      </c>
      <c r="K790" s="19" t="s">
        <v>57</v>
      </c>
      <c r="L790" s="19">
        <v>800</v>
      </c>
      <c r="M790" s="107">
        <v>789</v>
      </c>
      <c r="N790" s="20"/>
      <c r="O790" s="20"/>
      <c r="P790" s="20"/>
      <c r="Q790" s="20"/>
      <c r="R790" s="147"/>
      <c r="S790" s="52" t="s">
        <v>1720</v>
      </c>
    </row>
    <row r="791" spans="1:19" ht="118.5" customHeight="1" thickBot="1" x14ac:dyDescent="0.3">
      <c r="A791" s="16" t="s">
        <v>1319</v>
      </c>
      <c r="B791" s="42" t="s">
        <v>1320</v>
      </c>
      <c r="C791" s="17" t="s">
        <v>55</v>
      </c>
      <c r="D791" s="26">
        <v>70</v>
      </c>
      <c r="E791" s="26">
        <v>70</v>
      </c>
      <c r="F791" s="26">
        <v>10.3</v>
      </c>
      <c r="G791" s="26">
        <v>59.7</v>
      </c>
      <c r="H791" s="26">
        <v>59.7</v>
      </c>
      <c r="I791" s="264">
        <f t="shared" si="59"/>
        <v>0.14714285714285716</v>
      </c>
      <c r="J791" s="48" t="s">
        <v>1300</v>
      </c>
      <c r="K791" s="19" t="s">
        <v>57</v>
      </c>
      <c r="L791" s="19">
        <v>100</v>
      </c>
      <c r="M791" s="108">
        <v>106</v>
      </c>
      <c r="N791" s="20"/>
      <c r="O791" s="20"/>
      <c r="P791" s="20"/>
      <c r="Q791" s="20"/>
      <c r="R791" s="147"/>
      <c r="S791" s="120"/>
    </row>
    <row r="792" spans="1:19" x14ac:dyDescent="0.25">
      <c r="A792" s="306" t="s">
        <v>1321</v>
      </c>
      <c r="B792" s="308" t="s">
        <v>1322</v>
      </c>
      <c r="C792" s="17"/>
      <c r="D792" s="18">
        <f>SUM(D793:D806)</f>
        <v>27525</v>
      </c>
      <c r="E792" s="18">
        <f>SUM(E793:E806)</f>
        <v>27525</v>
      </c>
      <c r="F792" s="18">
        <f>SUM(F793:F806)-0.1</f>
        <v>27206.300000000007</v>
      </c>
      <c r="G792" s="18">
        <f>SUM(G793:G806)+0.1</f>
        <v>318.70000000000005</v>
      </c>
      <c r="H792" s="18">
        <f>SUM(H793:H806)+0.1</f>
        <v>318.70000000000005</v>
      </c>
      <c r="I792" s="264">
        <f t="shared" si="59"/>
        <v>0.98842143505903746</v>
      </c>
      <c r="J792" s="48" t="s">
        <v>1300</v>
      </c>
      <c r="K792" s="19" t="s">
        <v>57</v>
      </c>
      <c r="L792" s="98">
        <v>21000</v>
      </c>
      <c r="M792" s="136">
        <v>20121</v>
      </c>
      <c r="N792" s="20"/>
      <c r="O792" s="20"/>
      <c r="P792" s="20"/>
      <c r="Q792" s="20"/>
      <c r="R792" s="311"/>
      <c r="S792" s="326" t="s">
        <v>1720</v>
      </c>
    </row>
    <row r="793" spans="1:19" ht="25.5" customHeight="1" thickBot="1" x14ac:dyDescent="0.3">
      <c r="A793" s="307"/>
      <c r="B793" s="309"/>
      <c r="C793" s="22"/>
      <c r="D793" s="23"/>
      <c r="E793" s="23"/>
      <c r="F793" s="23"/>
      <c r="G793" s="23"/>
      <c r="H793" s="23"/>
      <c r="I793" s="279"/>
      <c r="J793" s="49" t="s">
        <v>1323</v>
      </c>
      <c r="K793" s="24" t="s">
        <v>57</v>
      </c>
      <c r="L793" s="24">
        <v>38</v>
      </c>
      <c r="M793" s="104">
        <v>38</v>
      </c>
      <c r="N793" s="25"/>
      <c r="O793" s="25"/>
      <c r="P793" s="25"/>
      <c r="Q793" s="25"/>
      <c r="R793" s="313"/>
      <c r="S793" s="327"/>
    </row>
    <row r="794" spans="1:19" ht="102.75" hidden="1" thickBot="1" x14ac:dyDescent="0.3">
      <c r="A794" s="16" t="s">
        <v>1324</v>
      </c>
      <c r="B794" s="42" t="s">
        <v>1325</v>
      </c>
      <c r="C794" s="17"/>
      <c r="D794" s="26"/>
      <c r="E794" s="26"/>
      <c r="F794" s="26"/>
      <c r="G794" s="26"/>
      <c r="H794" s="26"/>
      <c r="I794" s="264"/>
      <c r="J794" s="48"/>
      <c r="K794" s="19"/>
      <c r="L794" s="19"/>
      <c r="M794" s="19"/>
      <c r="N794" s="20"/>
      <c r="O794" s="20"/>
      <c r="P794" s="20"/>
      <c r="Q794" s="20"/>
      <c r="R794" s="147"/>
      <c r="S794" s="52"/>
    </row>
    <row r="795" spans="1:19" ht="26.25" thickBot="1" x14ac:dyDescent="0.3">
      <c r="A795" s="16" t="s">
        <v>1326</v>
      </c>
      <c r="B795" s="42" t="s">
        <v>1327</v>
      </c>
      <c r="C795" s="17" t="s">
        <v>177</v>
      </c>
      <c r="D795" s="26">
        <v>384.4</v>
      </c>
      <c r="E795" s="26">
        <v>384.4</v>
      </c>
      <c r="F795" s="26">
        <v>364.2</v>
      </c>
      <c r="G795" s="26">
        <v>20.2</v>
      </c>
      <c r="H795" s="26">
        <v>20.2</v>
      </c>
      <c r="I795" s="264">
        <f t="shared" si="59"/>
        <v>0.94745057232049945</v>
      </c>
      <c r="J795" s="48" t="s">
        <v>1300</v>
      </c>
      <c r="K795" s="19" t="s">
        <v>57</v>
      </c>
      <c r="L795" s="98">
        <v>1000</v>
      </c>
      <c r="M795" s="136">
        <v>609</v>
      </c>
      <c r="N795" s="20"/>
      <c r="O795" s="20"/>
      <c r="P795" s="20"/>
      <c r="Q795" s="20"/>
      <c r="R795" s="147"/>
      <c r="S795" s="52" t="s">
        <v>1720</v>
      </c>
    </row>
    <row r="796" spans="1:19" ht="26.25" thickBot="1" x14ac:dyDescent="0.3">
      <c r="A796" s="16" t="s">
        <v>1328</v>
      </c>
      <c r="B796" s="42" t="s">
        <v>1329</v>
      </c>
      <c r="C796" s="17" t="s">
        <v>177</v>
      </c>
      <c r="D796" s="26">
        <v>24534.9</v>
      </c>
      <c r="E796" s="26">
        <v>24534.9</v>
      </c>
      <c r="F796" s="26">
        <v>24358.400000000001</v>
      </c>
      <c r="G796" s="26">
        <v>176.5</v>
      </c>
      <c r="H796" s="26">
        <v>176.5</v>
      </c>
      <c r="I796" s="264">
        <f t="shared" si="59"/>
        <v>0.99280616591060078</v>
      </c>
      <c r="J796" s="48" t="s">
        <v>1300</v>
      </c>
      <c r="K796" s="19" t="s">
        <v>57</v>
      </c>
      <c r="L796" s="98">
        <v>18734</v>
      </c>
      <c r="M796" s="135">
        <v>19764</v>
      </c>
      <c r="N796" s="20"/>
      <c r="O796" s="20"/>
      <c r="P796" s="20"/>
      <c r="Q796" s="20"/>
      <c r="R796" s="147"/>
      <c r="S796" s="52"/>
    </row>
    <row r="797" spans="1:19" ht="26.25" thickBot="1" x14ac:dyDescent="0.3">
      <c r="A797" s="16" t="s">
        <v>1330</v>
      </c>
      <c r="B797" s="42" t="s">
        <v>1331</v>
      </c>
      <c r="C797" s="17" t="s">
        <v>177</v>
      </c>
      <c r="D797" s="26">
        <v>2.2999999999999998</v>
      </c>
      <c r="E797" s="26">
        <v>2.2999999999999998</v>
      </c>
      <c r="F797" s="26"/>
      <c r="G797" s="26">
        <v>2.2999999999999998</v>
      </c>
      <c r="H797" s="26">
        <v>2.2999999999999998</v>
      </c>
      <c r="I797" s="264">
        <f t="shared" si="59"/>
        <v>0</v>
      </c>
      <c r="J797" s="48" t="s">
        <v>1300</v>
      </c>
      <c r="K797" s="19" t="s">
        <v>57</v>
      </c>
      <c r="L797" s="19">
        <v>2</v>
      </c>
      <c r="M797" s="106">
        <v>0</v>
      </c>
      <c r="N797" s="20"/>
      <c r="O797" s="20"/>
      <c r="P797" s="20"/>
      <c r="Q797" s="20"/>
      <c r="R797" s="147"/>
      <c r="S797" s="52" t="s">
        <v>1720</v>
      </c>
    </row>
    <row r="798" spans="1:19" ht="39" thickBot="1" x14ac:dyDescent="0.3">
      <c r="A798" s="16" t="s">
        <v>1332</v>
      </c>
      <c r="B798" s="42" t="s">
        <v>1333</v>
      </c>
      <c r="C798" s="17" t="s">
        <v>177</v>
      </c>
      <c r="D798" s="26">
        <v>59.6</v>
      </c>
      <c r="E798" s="26">
        <v>59.6</v>
      </c>
      <c r="F798" s="26">
        <v>34.9</v>
      </c>
      <c r="G798" s="26">
        <v>24.7</v>
      </c>
      <c r="H798" s="26">
        <v>24.7</v>
      </c>
      <c r="I798" s="264">
        <f t="shared" si="59"/>
        <v>0.58557046979865768</v>
      </c>
      <c r="J798" s="48" t="s">
        <v>1300</v>
      </c>
      <c r="K798" s="19" t="s">
        <v>57</v>
      </c>
      <c r="L798" s="19">
        <v>100</v>
      </c>
      <c r="M798" s="111">
        <v>100</v>
      </c>
      <c r="N798" s="20"/>
      <c r="O798" s="20"/>
      <c r="P798" s="20"/>
      <c r="Q798" s="20"/>
      <c r="R798" s="147"/>
      <c r="S798" s="52"/>
    </row>
    <row r="799" spans="1:19" ht="26.25" thickBot="1" x14ac:dyDescent="0.3">
      <c r="A799" s="16" t="s">
        <v>1334</v>
      </c>
      <c r="B799" s="42" t="s">
        <v>1335</v>
      </c>
      <c r="C799" s="17" t="s">
        <v>177</v>
      </c>
      <c r="D799" s="26">
        <v>1316</v>
      </c>
      <c r="E799" s="26">
        <v>1316</v>
      </c>
      <c r="F799" s="26">
        <v>1314.4</v>
      </c>
      <c r="G799" s="26">
        <v>1.6</v>
      </c>
      <c r="H799" s="26">
        <v>1.6</v>
      </c>
      <c r="I799" s="264">
        <f t="shared" si="59"/>
        <v>0.99878419452887546</v>
      </c>
      <c r="J799" s="48" t="s">
        <v>1300</v>
      </c>
      <c r="K799" s="19" t="s">
        <v>57</v>
      </c>
      <c r="L799" s="19">
        <v>520</v>
      </c>
      <c r="M799" s="107">
        <v>464</v>
      </c>
      <c r="N799" s="20"/>
      <c r="O799" s="20"/>
      <c r="P799" s="20"/>
      <c r="Q799" s="20"/>
      <c r="R799" s="147"/>
      <c r="S799" s="52" t="s">
        <v>1720</v>
      </c>
    </row>
    <row r="800" spans="1:19" ht="39" thickBot="1" x14ac:dyDescent="0.3">
      <c r="A800" s="16" t="s">
        <v>1336</v>
      </c>
      <c r="B800" s="42" t="s">
        <v>1337</v>
      </c>
      <c r="C800" s="17" t="s">
        <v>177</v>
      </c>
      <c r="D800" s="26">
        <v>151.30000000000001</v>
      </c>
      <c r="E800" s="26">
        <v>151.30000000000001</v>
      </c>
      <c r="F800" s="26">
        <v>151.30000000000001</v>
      </c>
      <c r="G800" s="26"/>
      <c r="H800" s="26"/>
      <c r="I800" s="264">
        <f t="shared" si="59"/>
        <v>1</v>
      </c>
      <c r="J800" s="48" t="s">
        <v>1300</v>
      </c>
      <c r="K800" s="19" t="s">
        <v>57</v>
      </c>
      <c r="L800" s="19">
        <v>78</v>
      </c>
      <c r="M800" s="108">
        <v>83</v>
      </c>
      <c r="N800" s="20"/>
      <c r="O800" s="20"/>
      <c r="P800" s="20"/>
      <c r="Q800" s="20"/>
      <c r="R800" s="147"/>
      <c r="S800" s="52"/>
    </row>
    <row r="801" spans="1:19" ht="39" thickBot="1" x14ac:dyDescent="0.3">
      <c r="A801" s="16" t="s">
        <v>1338</v>
      </c>
      <c r="B801" s="42" t="s">
        <v>1339</v>
      </c>
      <c r="C801" s="17" t="s">
        <v>177</v>
      </c>
      <c r="D801" s="26">
        <v>688</v>
      </c>
      <c r="E801" s="26">
        <v>688</v>
      </c>
      <c r="F801" s="26">
        <v>672.6</v>
      </c>
      <c r="G801" s="26">
        <v>15.4</v>
      </c>
      <c r="H801" s="26">
        <v>15.4</v>
      </c>
      <c r="I801" s="264">
        <f t="shared" si="59"/>
        <v>0.97761627906976745</v>
      </c>
      <c r="J801" s="48" t="s">
        <v>1300</v>
      </c>
      <c r="K801" s="19" t="s">
        <v>57</v>
      </c>
      <c r="L801" s="19">
        <v>380</v>
      </c>
      <c r="M801" s="107">
        <v>311</v>
      </c>
      <c r="N801" s="20"/>
      <c r="O801" s="20"/>
      <c r="P801" s="20"/>
      <c r="Q801" s="20"/>
      <c r="R801" s="147"/>
      <c r="S801" s="52" t="s">
        <v>1720</v>
      </c>
    </row>
    <row r="802" spans="1:19" ht="51.75" thickBot="1" x14ac:dyDescent="0.3">
      <c r="A802" s="16" t="s">
        <v>1340</v>
      </c>
      <c r="B802" s="42" t="s">
        <v>1341</v>
      </c>
      <c r="C802" s="17" t="s">
        <v>177</v>
      </c>
      <c r="D802" s="26">
        <v>78.099999999999994</v>
      </c>
      <c r="E802" s="26">
        <v>78.099999999999994</v>
      </c>
      <c r="F802" s="26">
        <v>58.4</v>
      </c>
      <c r="G802" s="26">
        <v>19.7</v>
      </c>
      <c r="H802" s="26">
        <v>19.7</v>
      </c>
      <c r="I802" s="264">
        <f t="shared" si="59"/>
        <v>0.74775928297055061</v>
      </c>
      <c r="J802" s="48" t="s">
        <v>1300</v>
      </c>
      <c r="K802" s="19" t="s">
        <v>57</v>
      </c>
      <c r="L802" s="19">
        <v>43</v>
      </c>
      <c r="M802" s="107">
        <v>29</v>
      </c>
      <c r="N802" s="20"/>
      <c r="O802" s="20"/>
      <c r="P802" s="20"/>
      <c r="Q802" s="20"/>
      <c r="R802" s="147"/>
      <c r="S802" s="52" t="s">
        <v>1720</v>
      </c>
    </row>
    <row r="803" spans="1:19" ht="39" thickBot="1" x14ac:dyDescent="0.3">
      <c r="A803" s="16" t="s">
        <v>1342</v>
      </c>
      <c r="B803" s="42" t="s">
        <v>1343</v>
      </c>
      <c r="C803" s="17" t="s">
        <v>177</v>
      </c>
      <c r="D803" s="26">
        <v>80</v>
      </c>
      <c r="E803" s="26">
        <v>80</v>
      </c>
      <c r="F803" s="26">
        <v>52.5</v>
      </c>
      <c r="G803" s="26">
        <v>27.5</v>
      </c>
      <c r="H803" s="26">
        <v>27.5</v>
      </c>
      <c r="I803" s="264">
        <f t="shared" si="59"/>
        <v>0.65625</v>
      </c>
      <c r="J803" s="48" t="s">
        <v>1300</v>
      </c>
      <c r="K803" s="19" t="s">
        <v>57</v>
      </c>
      <c r="L803" s="19">
        <v>90</v>
      </c>
      <c r="M803" s="107">
        <v>65</v>
      </c>
      <c r="N803" s="20"/>
      <c r="O803" s="20"/>
      <c r="P803" s="20"/>
      <c r="Q803" s="20"/>
      <c r="R803" s="147"/>
      <c r="S803" s="52" t="s">
        <v>1720</v>
      </c>
    </row>
    <row r="804" spans="1:19" ht="26.25" thickBot="1" x14ac:dyDescent="0.3">
      <c r="A804" s="16" t="s">
        <v>1344</v>
      </c>
      <c r="B804" s="42" t="s">
        <v>1345</v>
      </c>
      <c r="C804" s="17" t="s">
        <v>177</v>
      </c>
      <c r="D804" s="26">
        <v>10.5</v>
      </c>
      <c r="E804" s="26">
        <v>10.5</v>
      </c>
      <c r="F804" s="26"/>
      <c r="G804" s="26">
        <v>10.5</v>
      </c>
      <c r="H804" s="26">
        <v>10.5</v>
      </c>
      <c r="I804" s="264">
        <f t="shared" si="59"/>
        <v>0</v>
      </c>
      <c r="J804" s="48" t="s">
        <v>1300</v>
      </c>
      <c r="K804" s="19" t="s">
        <v>57</v>
      </c>
      <c r="L804" s="19">
        <v>5</v>
      </c>
      <c r="M804" s="106">
        <v>0</v>
      </c>
      <c r="N804" s="20"/>
      <c r="O804" s="20"/>
      <c r="P804" s="20"/>
      <c r="Q804" s="20"/>
      <c r="R804" s="147"/>
      <c r="S804" s="52" t="s">
        <v>1720</v>
      </c>
    </row>
    <row r="805" spans="1:19" ht="39" thickBot="1" x14ac:dyDescent="0.3">
      <c r="A805" s="16" t="s">
        <v>1346</v>
      </c>
      <c r="B805" s="42" t="s">
        <v>1347</v>
      </c>
      <c r="C805" s="17" t="s">
        <v>177</v>
      </c>
      <c r="D805" s="26">
        <v>28</v>
      </c>
      <c r="E805" s="26">
        <v>28</v>
      </c>
      <c r="F805" s="26">
        <v>16.399999999999999</v>
      </c>
      <c r="G805" s="26">
        <v>11.6</v>
      </c>
      <c r="H805" s="26">
        <v>11.6</v>
      </c>
      <c r="I805" s="264">
        <f t="shared" si="59"/>
        <v>0.58571428571428563</v>
      </c>
      <c r="J805" s="48" t="s">
        <v>1300</v>
      </c>
      <c r="K805" s="19" t="s">
        <v>57</v>
      </c>
      <c r="L805" s="19">
        <v>48</v>
      </c>
      <c r="M805" s="107">
        <v>47</v>
      </c>
      <c r="N805" s="20"/>
      <c r="O805" s="20"/>
      <c r="P805" s="20"/>
      <c r="Q805" s="20"/>
      <c r="R805" s="147"/>
      <c r="S805" s="52" t="s">
        <v>1720</v>
      </c>
    </row>
    <row r="806" spans="1:19" ht="26.25" thickBot="1" x14ac:dyDescent="0.3">
      <c r="A806" s="16" t="s">
        <v>1348</v>
      </c>
      <c r="B806" s="42" t="s">
        <v>1349</v>
      </c>
      <c r="C806" s="17" t="s">
        <v>177</v>
      </c>
      <c r="D806" s="26">
        <v>191.9</v>
      </c>
      <c r="E806" s="26">
        <v>191.9</v>
      </c>
      <c r="F806" s="26">
        <v>183.3</v>
      </c>
      <c r="G806" s="26">
        <v>8.6</v>
      </c>
      <c r="H806" s="26">
        <v>8.6</v>
      </c>
      <c r="I806" s="264">
        <f t="shared" si="59"/>
        <v>0.95518499218342889</v>
      </c>
      <c r="J806" s="48" t="s">
        <v>1323</v>
      </c>
      <c r="K806" s="19" t="s">
        <v>57</v>
      </c>
      <c r="L806" s="19">
        <v>38</v>
      </c>
      <c r="M806" s="111">
        <v>38</v>
      </c>
      <c r="N806" s="20"/>
      <c r="O806" s="20"/>
      <c r="P806" s="20"/>
      <c r="Q806" s="20"/>
      <c r="R806" s="147"/>
      <c r="S806" s="120"/>
    </row>
    <row r="807" spans="1:19" ht="26.25" customHeight="1" x14ac:dyDescent="0.25">
      <c r="A807" s="306" t="s">
        <v>1350</v>
      </c>
      <c r="B807" s="308" t="s">
        <v>1351</v>
      </c>
      <c r="C807" s="17"/>
      <c r="D807" s="18">
        <f>SUM(D808:D810)</f>
        <v>10747.800000000001</v>
      </c>
      <c r="E807" s="18">
        <f>SUM(E808:E810)</f>
        <v>10747.800000000001</v>
      </c>
      <c r="F807" s="18">
        <f>SUM(F808:F810)</f>
        <v>10575.1</v>
      </c>
      <c r="G807" s="18">
        <f>SUM(G808:G810)</f>
        <v>172.7</v>
      </c>
      <c r="H807" s="18">
        <f>SUM(H808:H810)</f>
        <v>172.7</v>
      </c>
      <c r="I807" s="264">
        <f t="shared" si="59"/>
        <v>0.98393159530322483</v>
      </c>
      <c r="J807" s="48" t="s">
        <v>1300</v>
      </c>
      <c r="K807" s="19" t="s">
        <v>57</v>
      </c>
      <c r="L807" s="98">
        <v>4300</v>
      </c>
      <c r="M807" s="135">
        <v>5179</v>
      </c>
      <c r="N807" s="20"/>
      <c r="O807" s="20"/>
      <c r="P807" s="20"/>
      <c r="Q807" s="20"/>
      <c r="R807" s="320"/>
      <c r="S807" s="294"/>
    </row>
    <row r="808" spans="1:19" ht="15.75" thickBot="1" x14ac:dyDescent="0.3">
      <c r="A808" s="307"/>
      <c r="B808" s="309"/>
      <c r="C808" s="22"/>
      <c r="D808" s="23"/>
      <c r="E808" s="23"/>
      <c r="F808" s="23"/>
      <c r="G808" s="23"/>
      <c r="H808" s="23"/>
      <c r="I808" s="279"/>
      <c r="J808" s="49" t="s">
        <v>1323</v>
      </c>
      <c r="K808" s="24" t="s">
        <v>57</v>
      </c>
      <c r="L808" s="24">
        <v>38</v>
      </c>
      <c r="M808" s="104">
        <v>38</v>
      </c>
      <c r="N808" s="25"/>
      <c r="O808" s="25"/>
      <c r="P808" s="25"/>
      <c r="Q808" s="25"/>
      <c r="R808" s="322"/>
      <c r="S808" s="296"/>
    </row>
    <row r="809" spans="1:19" ht="26.25" thickBot="1" x14ac:dyDescent="0.3">
      <c r="A809" s="16" t="s">
        <v>1352</v>
      </c>
      <c r="B809" s="42" t="s">
        <v>1353</v>
      </c>
      <c r="C809" s="17" t="s">
        <v>177</v>
      </c>
      <c r="D809" s="26">
        <v>10235.200000000001</v>
      </c>
      <c r="E809" s="26">
        <v>10235.200000000001</v>
      </c>
      <c r="F809" s="26">
        <v>10112.200000000001</v>
      </c>
      <c r="G809" s="26">
        <v>123</v>
      </c>
      <c r="H809" s="26">
        <v>123</v>
      </c>
      <c r="I809" s="264">
        <f t="shared" si="59"/>
        <v>0.98798264811630454</v>
      </c>
      <c r="J809" s="48" t="s">
        <v>1354</v>
      </c>
      <c r="K809" s="19" t="s">
        <v>22</v>
      </c>
      <c r="L809" s="98">
        <v>4300</v>
      </c>
      <c r="M809" s="135">
        <v>5179</v>
      </c>
      <c r="N809" s="20"/>
      <c r="O809" s="20"/>
      <c r="P809" s="20"/>
      <c r="Q809" s="20"/>
      <c r="R809" s="147"/>
      <c r="S809" s="120"/>
    </row>
    <row r="810" spans="1:19" ht="26.25" thickBot="1" x14ac:dyDescent="0.3">
      <c r="A810" s="16" t="s">
        <v>1355</v>
      </c>
      <c r="B810" s="42" t="s">
        <v>1349</v>
      </c>
      <c r="C810" s="17" t="s">
        <v>177</v>
      </c>
      <c r="D810" s="26">
        <v>512.6</v>
      </c>
      <c r="E810" s="26">
        <v>512.6</v>
      </c>
      <c r="F810" s="26">
        <v>462.9</v>
      </c>
      <c r="G810" s="26">
        <v>49.7</v>
      </c>
      <c r="H810" s="26">
        <v>49.7</v>
      </c>
      <c r="I810" s="264">
        <f t="shared" si="59"/>
        <v>0.90304330862270765</v>
      </c>
      <c r="J810" s="48" t="s">
        <v>1356</v>
      </c>
      <c r="K810" s="19" t="s">
        <v>22</v>
      </c>
      <c r="L810" s="19">
        <v>38</v>
      </c>
      <c r="M810" s="111">
        <v>38</v>
      </c>
      <c r="N810" s="20"/>
      <c r="O810" s="20"/>
      <c r="P810" s="20"/>
      <c r="Q810" s="20"/>
      <c r="R810" s="147"/>
      <c r="S810" s="120"/>
    </row>
    <row r="811" spans="1:19" ht="64.5" thickBot="1" x14ac:dyDescent="0.3">
      <c r="A811" s="16" t="s">
        <v>1357</v>
      </c>
      <c r="B811" s="42" t="s">
        <v>1358</v>
      </c>
      <c r="C811" s="17" t="s">
        <v>697</v>
      </c>
      <c r="D811" s="26">
        <v>1</v>
      </c>
      <c r="E811" s="26">
        <v>1</v>
      </c>
      <c r="F811" s="26">
        <v>0.6</v>
      </c>
      <c r="G811" s="26">
        <v>0.4</v>
      </c>
      <c r="H811" s="26">
        <v>0.4</v>
      </c>
      <c r="I811" s="264">
        <f t="shared" si="59"/>
        <v>0.6</v>
      </c>
      <c r="J811" s="48" t="s">
        <v>1300</v>
      </c>
      <c r="K811" s="19" t="s">
        <v>57</v>
      </c>
      <c r="L811" s="19">
        <v>1</v>
      </c>
      <c r="M811" s="111">
        <v>1</v>
      </c>
      <c r="N811" s="20"/>
      <c r="O811" s="20"/>
      <c r="P811" s="20"/>
      <c r="Q811" s="20"/>
      <c r="R811" s="147"/>
      <c r="S811" s="52"/>
    </row>
    <row r="812" spans="1:19" ht="15.75" thickBot="1" x14ac:dyDescent="0.3">
      <c r="A812" s="16" t="s">
        <v>1359</v>
      </c>
      <c r="B812" s="42" t="s">
        <v>1360</v>
      </c>
      <c r="C812" s="17" t="s">
        <v>32</v>
      </c>
      <c r="D812" s="26">
        <v>5.2</v>
      </c>
      <c r="E812" s="26">
        <v>5.2</v>
      </c>
      <c r="F812" s="26">
        <v>5.2</v>
      </c>
      <c r="G812" s="26"/>
      <c r="H812" s="26"/>
      <c r="I812" s="264">
        <f t="shared" si="59"/>
        <v>1</v>
      </c>
      <c r="J812" s="48" t="s">
        <v>1300</v>
      </c>
      <c r="K812" s="19" t="s">
        <v>57</v>
      </c>
      <c r="L812" s="19">
        <v>2</v>
      </c>
      <c r="M812" s="111">
        <v>2</v>
      </c>
      <c r="N812" s="20"/>
      <c r="O812" s="20"/>
      <c r="P812" s="20"/>
      <c r="Q812" s="20"/>
      <c r="R812" s="147"/>
      <c r="S812" s="52"/>
    </row>
    <row r="813" spans="1:19" ht="26.25" thickBot="1" x14ac:dyDescent="0.3">
      <c r="A813" s="16" t="s">
        <v>1361</v>
      </c>
      <c r="B813" s="42" t="s">
        <v>1362</v>
      </c>
      <c r="C813" s="17"/>
      <c r="D813" s="18">
        <f>D814+D817</f>
        <v>1708</v>
      </c>
      <c r="E813" s="18">
        <f>E814+E817</f>
        <v>1708</v>
      </c>
      <c r="F813" s="18">
        <f>F814+F817</f>
        <v>1660.1999999999998</v>
      </c>
      <c r="G813" s="18">
        <f>G814+G817</f>
        <v>47.8</v>
      </c>
      <c r="H813" s="18">
        <f>H814+H817</f>
        <v>47.8</v>
      </c>
      <c r="I813" s="264">
        <f t="shared" si="59"/>
        <v>0.97201405152224818</v>
      </c>
      <c r="J813" s="48" t="s">
        <v>1300</v>
      </c>
      <c r="K813" s="19" t="s">
        <v>57</v>
      </c>
      <c r="L813" s="98">
        <v>4550</v>
      </c>
      <c r="M813" s="136">
        <v>4442</v>
      </c>
      <c r="N813" s="20"/>
      <c r="O813" s="20"/>
      <c r="P813" s="20"/>
      <c r="Q813" s="20"/>
      <c r="R813" s="147"/>
      <c r="S813" s="52" t="s">
        <v>1720</v>
      </c>
    </row>
    <row r="814" spans="1:19" ht="25.5" customHeight="1" x14ac:dyDescent="0.25">
      <c r="A814" s="306" t="s">
        <v>1363</v>
      </c>
      <c r="B814" s="308" t="s">
        <v>1364</v>
      </c>
      <c r="C814" s="17"/>
      <c r="D814" s="18">
        <f>SUM(D815:D816)</f>
        <v>1556</v>
      </c>
      <c r="E814" s="18">
        <f>SUM(E815:E816)</f>
        <v>1556</v>
      </c>
      <c r="F814" s="18">
        <f>SUM(F815:F816)</f>
        <v>1511.6999999999998</v>
      </c>
      <c r="G814" s="18">
        <f>SUM(G815:G816)</f>
        <v>44.3</v>
      </c>
      <c r="H814" s="18">
        <f>SUM(H815:H816)</f>
        <v>44.3</v>
      </c>
      <c r="I814" s="261">
        <f t="shared" si="59"/>
        <v>0.97152956298200499</v>
      </c>
      <c r="J814" s="314" t="s">
        <v>1300</v>
      </c>
      <c r="K814" s="323" t="s">
        <v>57</v>
      </c>
      <c r="L814" s="340">
        <v>4550</v>
      </c>
      <c r="M814" s="343">
        <v>4442</v>
      </c>
      <c r="N814" s="20"/>
      <c r="O814" s="20"/>
      <c r="P814" s="20"/>
      <c r="Q814" s="20"/>
      <c r="R814" s="320"/>
      <c r="S814" s="326" t="s">
        <v>1720</v>
      </c>
    </row>
    <row r="815" spans="1:19" x14ac:dyDescent="0.25">
      <c r="A815" s="406"/>
      <c r="B815" s="310"/>
      <c r="C815" s="22" t="s">
        <v>55</v>
      </c>
      <c r="D815" s="23">
        <v>120</v>
      </c>
      <c r="E815" s="23">
        <v>120</v>
      </c>
      <c r="F815" s="23">
        <v>84.6</v>
      </c>
      <c r="G815" s="23">
        <v>35.4</v>
      </c>
      <c r="H815" s="54">
        <v>35.4</v>
      </c>
      <c r="I815" s="262">
        <f t="shared" si="59"/>
        <v>0.70499999999999996</v>
      </c>
      <c r="J815" s="315"/>
      <c r="K815" s="324"/>
      <c r="L815" s="341"/>
      <c r="M815" s="466"/>
      <c r="N815" s="25"/>
      <c r="O815" s="25"/>
      <c r="P815" s="25"/>
      <c r="Q815" s="25"/>
      <c r="R815" s="321"/>
      <c r="S815" s="332"/>
    </row>
    <row r="816" spans="1:19" ht="15.75" thickBot="1" x14ac:dyDescent="0.3">
      <c r="A816" s="307"/>
      <c r="B816" s="309"/>
      <c r="C816" s="22" t="s">
        <v>697</v>
      </c>
      <c r="D816" s="23">
        <v>1436</v>
      </c>
      <c r="E816" s="23">
        <v>1436</v>
      </c>
      <c r="F816" s="23">
        <v>1427.1</v>
      </c>
      <c r="G816" s="23">
        <v>8.9</v>
      </c>
      <c r="H816" s="23">
        <v>8.9</v>
      </c>
      <c r="I816" s="279">
        <f t="shared" si="59"/>
        <v>0.99380222841225618</v>
      </c>
      <c r="J816" s="316"/>
      <c r="K816" s="325"/>
      <c r="L816" s="342"/>
      <c r="M816" s="344"/>
      <c r="N816" s="25"/>
      <c r="O816" s="25"/>
      <c r="P816" s="25"/>
      <c r="Q816" s="25"/>
      <c r="R816" s="322"/>
      <c r="S816" s="327"/>
    </row>
    <row r="817" spans="1:23" ht="26.25" thickBot="1" x14ac:dyDescent="0.3">
      <c r="A817" s="16" t="s">
        <v>1365</v>
      </c>
      <c r="B817" s="42" t="s">
        <v>1366</v>
      </c>
      <c r="C817" s="17" t="s">
        <v>697</v>
      </c>
      <c r="D817" s="26">
        <v>152</v>
      </c>
      <c r="E817" s="26">
        <v>152</v>
      </c>
      <c r="F817" s="26">
        <v>148.5</v>
      </c>
      <c r="G817" s="26">
        <v>3.5</v>
      </c>
      <c r="H817" s="26">
        <v>3.5</v>
      </c>
      <c r="I817" s="264">
        <f t="shared" si="59"/>
        <v>0.97697368421052633</v>
      </c>
      <c r="J817" s="48" t="s">
        <v>1300</v>
      </c>
      <c r="K817" s="19" t="s">
        <v>57</v>
      </c>
      <c r="L817" s="98">
        <v>1500</v>
      </c>
      <c r="M817" s="136">
        <v>1347</v>
      </c>
      <c r="N817" s="20"/>
      <c r="O817" s="20"/>
      <c r="P817" s="20"/>
      <c r="Q817" s="20"/>
      <c r="R817" s="147"/>
      <c r="S817" s="52" t="s">
        <v>1720</v>
      </c>
    </row>
    <row r="818" spans="1:23" ht="45" customHeight="1" x14ac:dyDescent="0.25">
      <c r="A818" s="306" t="s">
        <v>1367</v>
      </c>
      <c r="B818" s="308" t="s">
        <v>1368</v>
      </c>
      <c r="C818" s="17"/>
      <c r="D818" s="18">
        <f>SUM(D819:D819)</f>
        <v>2546.8000000000002</v>
      </c>
      <c r="E818" s="18">
        <f>SUM(E819:E819)</f>
        <v>2546.8000000000002</v>
      </c>
      <c r="F818" s="18">
        <f>SUM(F819:F819)</f>
        <v>2544.8000000000002</v>
      </c>
      <c r="G818" s="18">
        <f>SUM(G819:G819)</f>
        <v>2</v>
      </c>
      <c r="H818" s="18">
        <f>SUM(H819:H819)</f>
        <v>2</v>
      </c>
      <c r="I818" s="264">
        <f t="shared" si="59"/>
        <v>0.99921470080100516</v>
      </c>
      <c r="J818" s="308" t="s">
        <v>1369</v>
      </c>
      <c r="K818" s="323" t="s">
        <v>29</v>
      </c>
      <c r="L818" s="323">
        <v>100</v>
      </c>
      <c r="M818" s="347">
        <v>100</v>
      </c>
      <c r="N818" s="20"/>
      <c r="O818" s="20"/>
      <c r="P818" s="20"/>
      <c r="Q818" s="20"/>
      <c r="R818" s="320"/>
      <c r="S818" s="317"/>
    </row>
    <row r="819" spans="1:23" ht="36" customHeight="1" thickBot="1" x14ac:dyDescent="0.3">
      <c r="A819" s="307"/>
      <c r="B819" s="309"/>
      <c r="C819" s="22" t="s">
        <v>30</v>
      </c>
      <c r="D819" s="23">
        <v>2546.8000000000002</v>
      </c>
      <c r="E819" s="23">
        <v>2546.8000000000002</v>
      </c>
      <c r="F819" s="23">
        <v>2544.8000000000002</v>
      </c>
      <c r="G819" s="23">
        <v>2</v>
      </c>
      <c r="H819" s="23">
        <v>2</v>
      </c>
      <c r="I819" s="279">
        <f t="shared" si="59"/>
        <v>0.99921470080100516</v>
      </c>
      <c r="J819" s="309"/>
      <c r="K819" s="325"/>
      <c r="L819" s="325"/>
      <c r="M819" s="349"/>
      <c r="N819" s="25"/>
      <c r="O819" s="25"/>
      <c r="P819" s="25"/>
      <c r="Q819" s="25"/>
      <c r="R819" s="322"/>
      <c r="S819" s="319"/>
    </row>
    <row r="820" spans="1:23" ht="62.25" customHeight="1" x14ac:dyDescent="0.25">
      <c r="A820" s="306" t="s">
        <v>1370</v>
      </c>
      <c r="B820" s="308" t="s">
        <v>1371</v>
      </c>
      <c r="C820" s="17"/>
      <c r="D820" s="18">
        <f>SUM(D821:D822)</f>
        <v>200</v>
      </c>
      <c r="E820" s="18">
        <f>SUM(E821:E822)</f>
        <v>200</v>
      </c>
      <c r="F820" s="18">
        <f>SUM(F821:F822)</f>
        <v>200</v>
      </c>
      <c r="G820" s="18"/>
      <c r="H820" s="18"/>
      <c r="I820" s="261">
        <f t="shared" si="59"/>
        <v>1</v>
      </c>
      <c r="J820" s="314" t="s">
        <v>1372</v>
      </c>
      <c r="K820" s="323" t="s">
        <v>29</v>
      </c>
      <c r="L820" s="323">
        <v>100</v>
      </c>
      <c r="M820" s="347">
        <v>100</v>
      </c>
      <c r="N820" s="20"/>
      <c r="O820" s="20"/>
      <c r="P820" s="20"/>
      <c r="Q820" s="20"/>
      <c r="R820" s="308" t="s">
        <v>1910</v>
      </c>
      <c r="S820" s="303"/>
    </row>
    <row r="821" spans="1:23" x14ac:dyDescent="0.25">
      <c r="A821" s="406"/>
      <c r="B821" s="310"/>
      <c r="C821" s="22" t="s">
        <v>30</v>
      </c>
      <c r="D821" s="23">
        <v>100</v>
      </c>
      <c r="E821" s="23">
        <v>100</v>
      </c>
      <c r="F821" s="23">
        <v>100</v>
      </c>
      <c r="G821" s="23"/>
      <c r="H821" s="54"/>
      <c r="I821" s="262">
        <f t="shared" si="59"/>
        <v>1</v>
      </c>
      <c r="J821" s="315"/>
      <c r="K821" s="324"/>
      <c r="L821" s="324"/>
      <c r="M821" s="348"/>
      <c r="N821" s="25"/>
      <c r="O821" s="25"/>
      <c r="P821" s="25"/>
      <c r="Q821" s="25"/>
      <c r="R821" s="310"/>
      <c r="S821" s="304"/>
    </row>
    <row r="822" spans="1:23" ht="15.75" thickBot="1" x14ac:dyDescent="0.3">
      <c r="A822" s="307"/>
      <c r="B822" s="309"/>
      <c r="C822" s="22" t="s">
        <v>32</v>
      </c>
      <c r="D822" s="23">
        <v>100</v>
      </c>
      <c r="E822" s="23">
        <v>100</v>
      </c>
      <c r="F822" s="23">
        <v>100</v>
      </c>
      <c r="G822" s="23"/>
      <c r="H822" s="23"/>
      <c r="I822" s="279">
        <f t="shared" si="59"/>
        <v>1</v>
      </c>
      <c r="J822" s="316"/>
      <c r="K822" s="325"/>
      <c r="L822" s="325"/>
      <c r="M822" s="349"/>
      <c r="N822" s="25"/>
      <c r="O822" s="25"/>
      <c r="P822" s="25"/>
      <c r="Q822" s="25"/>
      <c r="R822" s="309"/>
      <c r="S822" s="305"/>
    </row>
    <row r="823" spans="1:23" ht="32.25" thickBot="1" x14ac:dyDescent="0.3">
      <c r="A823" s="5" t="s">
        <v>1373</v>
      </c>
      <c r="B823" s="39" t="s">
        <v>1374</v>
      </c>
      <c r="C823" s="6"/>
      <c r="D823" s="7">
        <f>D824+D939</f>
        <v>27435.199999999997</v>
      </c>
      <c r="E823" s="7">
        <f>E824+E939</f>
        <v>27435.199999999997</v>
      </c>
      <c r="F823" s="7">
        <f>F824+F939</f>
        <v>24528.800000000003</v>
      </c>
      <c r="G823" s="7">
        <f>G824+G939</f>
        <v>2906.3999999999996</v>
      </c>
      <c r="H823" s="7">
        <f>H824+H939</f>
        <v>2906.3999999999996</v>
      </c>
      <c r="I823" s="258">
        <f>SUM(F823/E823)</f>
        <v>0.89406310141715772</v>
      </c>
      <c r="J823" s="452"/>
      <c r="K823" s="453"/>
      <c r="L823" s="453"/>
      <c r="M823" s="453"/>
      <c r="N823" s="453"/>
      <c r="O823" s="453"/>
      <c r="P823" s="453"/>
      <c r="Q823" s="453"/>
      <c r="R823" s="453"/>
      <c r="S823" s="454"/>
      <c r="U823" s="240"/>
      <c r="V823" s="241" t="s">
        <v>1</v>
      </c>
      <c r="W823" s="251" t="s">
        <v>1945</v>
      </c>
    </row>
    <row r="824" spans="1:23" ht="30" customHeight="1" x14ac:dyDescent="0.25">
      <c r="A824" s="458" t="s">
        <v>1375</v>
      </c>
      <c r="B824" s="449" t="s">
        <v>1376</v>
      </c>
      <c r="C824" s="9"/>
      <c r="D824" s="10">
        <f>D825+D826+D827+D881+D909+D918+D935</f>
        <v>26798.6</v>
      </c>
      <c r="E824" s="10">
        <f>E825+E826+E827+E881+E909+E918+E935</f>
        <v>26798.6</v>
      </c>
      <c r="F824" s="10">
        <f>F825+F826+F827+F881+F909+F918+F935</f>
        <v>23935.4</v>
      </c>
      <c r="G824" s="10">
        <f>G825+G826+G827+G881+G909+G918+G935</f>
        <v>2863.2</v>
      </c>
      <c r="H824" s="10">
        <f>H825+H826+H827+H881+H909+H918+H935</f>
        <v>2863.2</v>
      </c>
      <c r="I824" s="259">
        <f>SUM(F824/E824)</f>
        <v>0.89315859783720053</v>
      </c>
      <c r="J824" s="47" t="s">
        <v>1377</v>
      </c>
      <c r="K824" s="11" t="s">
        <v>22</v>
      </c>
      <c r="L824" s="96">
        <v>14000</v>
      </c>
      <c r="M824" s="125">
        <v>25998</v>
      </c>
      <c r="N824" s="12"/>
      <c r="O824" s="12"/>
      <c r="P824" s="12"/>
      <c r="Q824" s="12"/>
      <c r="R824" s="400"/>
      <c r="S824" s="401"/>
      <c r="U824" s="242"/>
      <c r="V824" s="243" t="s">
        <v>1930</v>
      </c>
      <c r="W824" s="244">
        <v>35</v>
      </c>
    </row>
    <row r="825" spans="1:23" ht="27" customHeight="1" x14ac:dyDescent="0.25">
      <c r="A825" s="459"/>
      <c r="B825" s="450"/>
      <c r="C825" s="65"/>
      <c r="D825" s="66"/>
      <c r="E825" s="66"/>
      <c r="F825" s="66"/>
      <c r="G825" s="66"/>
      <c r="H825" s="66"/>
      <c r="I825" s="280"/>
      <c r="J825" s="64" t="s">
        <v>1378</v>
      </c>
      <c r="K825" s="62" t="s">
        <v>22</v>
      </c>
      <c r="L825" s="62">
        <v>20</v>
      </c>
      <c r="M825" s="62">
        <v>21</v>
      </c>
      <c r="N825" s="63"/>
      <c r="O825" s="63"/>
      <c r="P825" s="63"/>
      <c r="Q825" s="63"/>
      <c r="R825" s="404"/>
      <c r="S825" s="405"/>
      <c r="U825" s="249"/>
      <c r="V825" s="243" t="s">
        <v>1931</v>
      </c>
      <c r="W825" s="244">
        <v>1</v>
      </c>
    </row>
    <row r="826" spans="1:23" ht="51.75" thickBot="1" x14ac:dyDescent="0.3">
      <c r="A826" s="460"/>
      <c r="B826" s="451"/>
      <c r="C826" s="65"/>
      <c r="D826" s="66"/>
      <c r="E826" s="66"/>
      <c r="F826" s="66"/>
      <c r="G826" s="66"/>
      <c r="H826" s="66"/>
      <c r="I826" s="280"/>
      <c r="J826" s="64" t="s">
        <v>1379</v>
      </c>
      <c r="K826" s="62" t="s">
        <v>22</v>
      </c>
      <c r="L826" s="62">
        <v>2.2999999999999998</v>
      </c>
      <c r="M826" s="101">
        <v>2.11</v>
      </c>
      <c r="N826" s="63"/>
      <c r="O826" s="63"/>
      <c r="P826" s="63"/>
      <c r="Q826" s="63"/>
      <c r="R826" s="402"/>
      <c r="S826" s="403"/>
      <c r="U826" s="245"/>
      <c r="V826" s="243" t="s">
        <v>1932</v>
      </c>
      <c r="W826" s="246">
        <v>3</v>
      </c>
    </row>
    <row r="827" spans="1:23" ht="39" thickBot="1" x14ac:dyDescent="0.3">
      <c r="A827" s="13" t="s">
        <v>1380</v>
      </c>
      <c r="B827" s="41" t="s">
        <v>1381</v>
      </c>
      <c r="C827" s="14"/>
      <c r="D827" s="15">
        <f>D828+D858+D866+D869+D872+D875+D876+D879</f>
        <v>13452</v>
      </c>
      <c r="E827" s="15">
        <f>E828+E858+E866+E869+E872+E875+E876+E879</f>
        <v>13452</v>
      </c>
      <c r="F827" s="15">
        <f>F828+F858+F866+F869+F872+F875+F876+F879-0.1</f>
        <v>12303.700000000003</v>
      </c>
      <c r="G827" s="15">
        <f>G828+G858+G866+G869+G872+G875+G876+G879+0.1</f>
        <v>1148.2999999999997</v>
      </c>
      <c r="H827" s="15">
        <f>H828+H858+H866+H869+H872+H875+H876+H879+0.1</f>
        <v>1148.2999999999997</v>
      </c>
      <c r="I827" s="260">
        <f>SUM(F827/E827)</f>
        <v>0.91463722866488273</v>
      </c>
      <c r="J827" s="329"/>
      <c r="K827" s="330"/>
      <c r="L827" s="330"/>
      <c r="M827" s="330"/>
      <c r="N827" s="330"/>
      <c r="O827" s="330"/>
      <c r="P827" s="330"/>
      <c r="Q827" s="330"/>
      <c r="R827" s="330"/>
      <c r="S827" s="331"/>
      <c r="U827" s="250"/>
      <c r="V827" s="243" t="s">
        <v>1933</v>
      </c>
      <c r="W827" s="246">
        <v>5</v>
      </c>
    </row>
    <row r="828" spans="1:23" ht="270" customHeight="1" x14ac:dyDescent="0.25">
      <c r="A828" s="306" t="s">
        <v>1382</v>
      </c>
      <c r="B828" s="308" t="s">
        <v>1383</v>
      </c>
      <c r="C828" s="17"/>
      <c r="D828" s="18">
        <f>D829+D830+D831+D832+D833+D834+D835+D836+D837+D838+D839+D843+D844+D845+D846+D850+D853+D856</f>
        <v>9391.1</v>
      </c>
      <c r="E828" s="18">
        <f>E829+E830+E831+E832+E833+E834+E835+E836+E837+E838+E839+E843+E844+E845+E846+E850+E853+E856</f>
        <v>9391.1</v>
      </c>
      <c r="F828" s="18">
        <f>F829+F830+F831+F832+F833+F834+F835+F836+F837+F838+F839+F843+F844+F845+F846+F850+F853+F856+0.1</f>
        <v>8791.9000000000015</v>
      </c>
      <c r="G828" s="18">
        <f>G829+G830+G831+G832+G833+G834+G835+G836+G837+G838+G839+G843+G844+G845+G846+G850+G853+G856-0.1</f>
        <v>599.19999999999982</v>
      </c>
      <c r="H828" s="18">
        <f>H829+H830+H831+H832+H833+H834+H835+H836+H837+H838+H839+H843+H844+H845+H846+H850+H853+H856-0.1</f>
        <v>599.19999999999982</v>
      </c>
      <c r="I828" s="264">
        <f t="shared" ref="I828" si="60">SUM(F828/E828)</f>
        <v>0.93619490794475635</v>
      </c>
      <c r="J828" s="48" t="s">
        <v>1384</v>
      </c>
      <c r="K828" s="19" t="s">
        <v>57</v>
      </c>
      <c r="L828" s="19">
        <v>220</v>
      </c>
      <c r="M828" s="107">
        <v>215</v>
      </c>
      <c r="N828" s="20"/>
      <c r="O828" s="20"/>
      <c r="P828" s="20"/>
      <c r="Q828" s="20"/>
      <c r="R828" s="48" t="s">
        <v>1385</v>
      </c>
      <c r="S828" s="120"/>
      <c r="U828" s="247"/>
      <c r="V828" s="243" t="s">
        <v>1934</v>
      </c>
      <c r="W828" s="246"/>
    </row>
    <row r="829" spans="1:23" ht="220.5" customHeight="1" x14ac:dyDescent="0.25">
      <c r="A829" s="406"/>
      <c r="B829" s="310"/>
      <c r="C829" s="22"/>
      <c r="D829" s="23"/>
      <c r="E829" s="23"/>
      <c r="F829" s="23"/>
      <c r="G829" s="23"/>
      <c r="H829" s="23"/>
      <c r="I829" s="269"/>
      <c r="J829" s="49" t="s">
        <v>1386</v>
      </c>
      <c r="K829" s="24" t="s">
        <v>57</v>
      </c>
      <c r="L829" s="24">
        <v>71</v>
      </c>
      <c r="M829" s="110">
        <v>77.5</v>
      </c>
      <c r="N829" s="25"/>
      <c r="O829" s="25"/>
      <c r="P829" s="25"/>
      <c r="Q829" s="25"/>
      <c r="R829" s="49" t="s">
        <v>1387</v>
      </c>
      <c r="S829" s="53"/>
      <c r="U829" s="240"/>
      <c r="V829" s="248" t="s">
        <v>1935</v>
      </c>
      <c r="W829" s="246">
        <f>+SUM(W824:W828)</f>
        <v>44</v>
      </c>
    </row>
    <row r="830" spans="1:23" ht="243.75" customHeight="1" x14ac:dyDescent="0.25">
      <c r="A830" s="406"/>
      <c r="B830" s="310"/>
      <c r="C830" s="22"/>
      <c r="D830" s="23"/>
      <c r="E830" s="23"/>
      <c r="F830" s="23"/>
      <c r="G830" s="23"/>
      <c r="H830" s="23"/>
      <c r="I830" s="269"/>
      <c r="J830" s="49" t="s">
        <v>1388</v>
      </c>
      <c r="K830" s="24" t="s">
        <v>29</v>
      </c>
      <c r="L830" s="24">
        <v>100</v>
      </c>
      <c r="M830" s="104">
        <v>100</v>
      </c>
      <c r="N830" s="25"/>
      <c r="O830" s="25"/>
      <c r="P830" s="25"/>
      <c r="Q830" s="25"/>
      <c r="R830" s="49" t="s">
        <v>1674</v>
      </c>
      <c r="S830" s="53"/>
    </row>
    <row r="831" spans="1:23" ht="38.25" x14ac:dyDescent="0.25">
      <c r="A831" s="406"/>
      <c r="B831" s="310"/>
      <c r="C831" s="22"/>
      <c r="D831" s="23"/>
      <c r="E831" s="23"/>
      <c r="F831" s="23"/>
      <c r="G831" s="23"/>
      <c r="H831" s="23"/>
      <c r="I831" s="269"/>
      <c r="J831" s="49" t="s">
        <v>1389</v>
      </c>
      <c r="K831" s="24" t="s">
        <v>22</v>
      </c>
      <c r="L831" s="24">
        <v>40</v>
      </c>
      <c r="M831" s="110">
        <v>60</v>
      </c>
      <c r="N831" s="25"/>
      <c r="O831" s="25"/>
      <c r="P831" s="25"/>
      <c r="Q831" s="25"/>
      <c r="R831" s="49" t="s">
        <v>1911</v>
      </c>
      <c r="S831" s="53"/>
    </row>
    <row r="832" spans="1:23" ht="25.5" x14ac:dyDescent="0.25">
      <c r="A832" s="406"/>
      <c r="B832" s="310"/>
      <c r="C832" s="22"/>
      <c r="D832" s="23"/>
      <c r="E832" s="23"/>
      <c r="F832" s="23"/>
      <c r="G832" s="23"/>
      <c r="H832" s="23"/>
      <c r="I832" s="269"/>
      <c r="J832" s="49" t="s">
        <v>1390</v>
      </c>
      <c r="K832" s="24" t="s">
        <v>22</v>
      </c>
      <c r="L832" s="24">
        <v>3</v>
      </c>
      <c r="M832" s="110">
        <v>5</v>
      </c>
      <c r="N832" s="25"/>
      <c r="O832" s="25"/>
      <c r="P832" s="25"/>
      <c r="Q832" s="25"/>
      <c r="R832" s="49" t="s">
        <v>1391</v>
      </c>
      <c r="S832" s="53"/>
    </row>
    <row r="833" spans="1:19" ht="25.5" x14ac:dyDescent="0.25">
      <c r="A833" s="406"/>
      <c r="B833" s="310"/>
      <c r="C833" s="22"/>
      <c r="D833" s="23"/>
      <c r="E833" s="23"/>
      <c r="F833" s="23"/>
      <c r="G833" s="23"/>
      <c r="H833" s="23"/>
      <c r="I833" s="269"/>
      <c r="J833" s="49" t="s">
        <v>1392</v>
      </c>
      <c r="K833" s="24" t="s">
        <v>22</v>
      </c>
      <c r="L833" s="24">
        <v>3</v>
      </c>
      <c r="M833" s="110">
        <v>6</v>
      </c>
      <c r="N833" s="25"/>
      <c r="O833" s="25"/>
      <c r="P833" s="25"/>
      <c r="Q833" s="25"/>
      <c r="R833" s="49" t="s">
        <v>1393</v>
      </c>
      <c r="S833" s="53"/>
    </row>
    <row r="834" spans="1:19" ht="25.5" x14ac:dyDescent="0.25">
      <c r="A834" s="406"/>
      <c r="B834" s="310"/>
      <c r="C834" s="22"/>
      <c r="D834" s="23"/>
      <c r="E834" s="23"/>
      <c r="F834" s="23"/>
      <c r="G834" s="23"/>
      <c r="H834" s="23"/>
      <c r="I834" s="269"/>
      <c r="J834" s="49" t="s">
        <v>1394</v>
      </c>
      <c r="K834" s="24" t="s">
        <v>22</v>
      </c>
      <c r="L834" s="24">
        <v>330</v>
      </c>
      <c r="M834" s="109">
        <v>320</v>
      </c>
      <c r="N834" s="25"/>
      <c r="O834" s="25"/>
      <c r="P834" s="25"/>
      <c r="Q834" s="25"/>
      <c r="R834" s="145"/>
      <c r="S834" s="53" t="s">
        <v>1716</v>
      </c>
    </row>
    <row r="835" spans="1:19" ht="63.75" x14ac:dyDescent="0.25">
      <c r="A835" s="406"/>
      <c r="B835" s="310"/>
      <c r="C835" s="22"/>
      <c r="D835" s="23"/>
      <c r="E835" s="23"/>
      <c r="F835" s="23"/>
      <c r="G835" s="23"/>
      <c r="H835" s="23"/>
      <c r="I835" s="269"/>
      <c r="J835" s="49" t="s">
        <v>1395</v>
      </c>
      <c r="K835" s="24" t="s">
        <v>57</v>
      </c>
      <c r="L835" s="94">
        <v>21500</v>
      </c>
      <c r="M835" s="114">
        <v>26000</v>
      </c>
      <c r="N835" s="25"/>
      <c r="O835" s="25"/>
      <c r="P835" s="25"/>
      <c r="Q835" s="25"/>
      <c r="R835" s="49" t="s">
        <v>1396</v>
      </c>
      <c r="S835" s="53"/>
    </row>
    <row r="836" spans="1:19" ht="143.25" customHeight="1" x14ac:dyDescent="0.25">
      <c r="A836" s="406"/>
      <c r="B836" s="310"/>
      <c r="C836" s="22"/>
      <c r="D836" s="23"/>
      <c r="E836" s="23"/>
      <c r="F836" s="23"/>
      <c r="G836" s="23"/>
      <c r="H836" s="23"/>
      <c r="I836" s="269"/>
      <c r="J836" s="49" t="s">
        <v>1397</v>
      </c>
      <c r="K836" s="24" t="s">
        <v>57</v>
      </c>
      <c r="L836" s="24">
        <v>280</v>
      </c>
      <c r="M836" s="110">
        <v>591</v>
      </c>
      <c r="N836" s="25"/>
      <c r="O836" s="25"/>
      <c r="P836" s="25"/>
      <c r="Q836" s="25"/>
      <c r="R836" s="49" t="s">
        <v>1912</v>
      </c>
      <c r="S836" s="53"/>
    </row>
    <row r="837" spans="1:19" ht="127.5" x14ac:dyDescent="0.25">
      <c r="A837" s="406"/>
      <c r="B837" s="310"/>
      <c r="C837" s="22"/>
      <c r="D837" s="23"/>
      <c r="E837" s="23"/>
      <c r="F837" s="23"/>
      <c r="G837" s="23"/>
      <c r="H837" s="23"/>
      <c r="I837" s="269"/>
      <c r="J837" s="49" t="s">
        <v>1398</v>
      </c>
      <c r="K837" s="24" t="s">
        <v>57</v>
      </c>
      <c r="L837" s="94">
        <v>2500</v>
      </c>
      <c r="M837" s="114">
        <v>2743</v>
      </c>
      <c r="N837" s="25"/>
      <c r="O837" s="25"/>
      <c r="P837" s="25"/>
      <c r="Q837" s="25"/>
      <c r="R837" s="49" t="s">
        <v>1399</v>
      </c>
      <c r="S837" s="53"/>
    </row>
    <row r="838" spans="1:19" ht="51.75" thickBot="1" x14ac:dyDescent="0.3">
      <c r="A838" s="307"/>
      <c r="B838" s="309"/>
      <c r="C838" s="22"/>
      <c r="D838" s="23"/>
      <c r="E838" s="23"/>
      <c r="F838" s="23"/>
      <c r="G838" s="23"/>
      <c r="H838" s="23"/>
      <c r="I838" s="269"/>
      <c r="J838" s="49" t="s">
        <v>1400</v>
      </c>
      <c r="K838" s="24" t="s">
        <v>22</v>
      </c>
      <c r="L838" s="24">
        <v>10</v>
      </c>
      <c r="M838" s="110">
        <v>11</v>
      </c>
      <c r="N838" s="25"/>
      <c r="O838" s="25"/>
      <c r="P838" s="25"/>
      <c r="Q838" s="25"/>
      <c r="R838" s="49" t="s">
        <v>1913</v>
      </c>
      <c r="S838" s="53"/>
    </row>
    <row r="839" spans="1:19" ht="324" customHeight="1" x14ac:dyDescent="0.25">
      <c r="A839" s="306" t="s">
        <v>1401</v>
      </c>
      <c r="B839" s="308" t="s">
        <v>1402</v>
      </c>
      <c r="C839" s="17"/>
      <c r="D839" s="18">
        <f>SUM(D840:D842)</f>
        <v>7612.3</v>
      </c>
      <c r="E839" s="18">
        <f>SUM(E840:E842)</f>
        <v>7612.3</v>
      </c>
      <c r="F839" s="18">
        <f>SUM(F840:F842)</f>
        <v>7255.5</v>
      </c>
      <c r="G839" s="18">
        <f>SUM(G840:G842)</f>
        <v>356.8</v>
      </c>
      <c r="H839" s="18">
        <f>SUM(H840:H842)</f>
        <v>356.8</v>
      </c>
      <c r="I839" s="261">
        <f t="shared" ref="I839:I850" si="61">SUM(F839/E839)</f>
        <v>0.95312848941844119</v>
      </c>
      <c r="J839" s="48" t="s">
        <v>1384</v>
      </c>
      <c r="K839" s="19" t="s">
        <v>57</v>
      </c>
      <c r="L839" s="19">
        <v>220</v>
      </c>
      <c r="M839" s="107">
        <v>215</v>
      </c>
      <c r="N839" s="20"/>
      <c r="O839" s="20"/>
      <c r="P839" s="20"/>
      <c r="Q839" s="20"/>
      <c r="R839" s="48" t="s">
        <v>1403</v>
      </c>
      <c r="S839" s="52"/>
    </row>
    <row r="840" spans="1:19" ht="211.5" customHeight="1" x14ac:dyDescent="0.25">
      <c r="A840" s="406"/>
      <c r="B840" s="310"/>
      <c r="C840" s="22" t="s">
        <v>30</v>
      </c>
      <c r="D840" s="23">
        <v>142.69999999999999</v>
      </c>
      <c r="E840" s="23">
        <v>142.69999999999999</v>
      </c>
      <c r="F840" s="23">
        <v>142.69999999999999</v>
      </c>
      <c r="G840" s="23"/>
      <c r="H840" s="54"/>
      <c r="I840" s="262">
        <f t="shared" si="61"/>
        <v>1</v>
      </c>
      <c r="J840" s="333" t="s">
        <v>1404</v>
      </c>
      <c r="K840" s="334" t="s">
        <v>57</v>
      </c>
      <c r="L840" s="334">
        <v>71</v>
      </c>
      <c r="M840" s="335">
        <v>77.5</v>
      </c>
      <c r="N840" s="25"/>
      <c r="O840" s="25"/>
      <c r="P840" s="25"/>
      <c r="Q840" s="25"/>
      <c r="R840" s="338" t="s">
        <v>1405</v>
      </c>
      <c r="S840" s="339"/>
    </row>
    <row r="841" spans="1:19" x14ac:dyDescent="0.25">
      <c r="A841" s="406"/>
      <c r="B841" s="310"/>
      <c r="C841" s="22" t="s">
        <v>32</v>
      </c>
      <c r="D841" s="23">
        <v>7468.1</v>
      </c>
      <c r="E841" s="23">
        <v>7468.1</v>
      </c>
      <c r="F841" s="23">
        <v>7112.3</v>
      </c>
      <c r="G841" s="23">
        <v>355.8</v>
      </c>
      <c r="H841" s="54">
        <v>355.8</v>
      </c>
      <c r="I841" s="262">
        <f t="shared" si="61"/>
        <v>0.95235735997107696</v>
      </c>
      <c r="J841" s="315"/>
      <c r="K841" s="324"/>
      <c r="L841" s="324"/>
      <c r="M841" s="336"/>
      <c r="N841" s="25"/>
      <c r="O841" s="25"/>
      <c r="P841" s="25"/>
      <c r="Q841" s="25"/>
      <c r="R841" s="310"/>
      <c r="S841" s="304"/>
    </row>
    <row r="842" spans="1:19" ht="19.5" customHeight="1" thickBot="1" x14ac:dyDescent="0.3">
      <c r="A842" s="307"/>
      <c r="B842" s="309"/>
      <c r="C842" s="22" t="s">
        <v>185</v>
      </c>
      <c r="D842" s="23">
        <v>1.5</v>
      </c>
      <c r="E842" s="23">
        <v>1.5</v>
      </c>
      <c r="F842" s="23">
        <v>0.5</v>
      </c>
      <c r="G842" s="23">
        <v>1</v>
      </c>
      <c r="H842" s="23">
        <v>1</v>
      </c>
      <c r="I842" s="279">
        <f t="shared" si="61"/>
        <v>0.33333333333333331</v>
      </c>
      <c r="J842" s="316"/>
      <c r="K842" s="325"/>
      <c r="L842" s="325"/>
      <c r="M842" s="337"/>
      <c r="N842" s="25"/>
      <c r="O842" s="25"/>
      <c r="P842" s="25"/>
      <c r="Q842" s="25"/>
      <c r="R842" s="309"/>
      <c r="S842" s="305"/>
    </row>
    <row r="843" spans="1:19" ht="26.25" thickBot="1" x14ac:dyDescent="0.3">
      <c r="A843" s="16" t="s">
        <v>1406</v>
      </c>
      <c r="B843" s="42" t="s">
        <v>1407</v>
      </c>
      <c r="C843" s="17" t="s">
        <v>32</v>
      </c>
      <c r="D843" s="26">
        <v>162.9</v>
      </c>
      <c r="E843" s="26">
        <v>162.9</v>
      </c>
      <c r="F843" s="26">
        <v>148</v>
      </c>
      <c r="G843" s="26">
        <v>14.9</v>
      </c>
      <c r="H843" s="26">
        <v>14.9</v>
      </c>
      <c r="I843" s="264">
        <f t="shared" si="61"/>
        <v>0.9085328422344997</v>
      </c>
      <c r="J843" s="48" t="s">
        <v>1408</v>
      </c>
      <c r="K843" s="19" t="s">
        <v>29</v>
      </c>
      <c r="L843" s="19">
        <v>100</v>
      </c>
      <c r="M843" s="111">
        <v>100</v>
      </c>
      <c r="N843" s="20"/>
      <c r="O843" s="20"/>
      <c r="P843" s="20"/>
      <c r="Q843" s="20"/>
      <c r="R843" s="147"/>
      <c r="S843" s="52"/>
    </row>
    <row r="844" spans="1:19" ht="51.75" thickBot="1" x14ac:dyDescent="0.3">
      <c r="A844" s="16" t="s">
        <v>1409</v>
      </c>
      <c r="B844" s="42" t="s">
        <v>1410</v>
      </c>
      <c r="C844" s="17" t="s">
        <v>32</v>
      </c>
      <c r="D844" s="26">
        <v>933.7</v>
      </c>
      <c r="E844" s="26">
        <v>933.7</v>
      </c>
      <c r="F844" s="26">
        <v>822.1</v>
      </c>
      <c r="G844" s="26">
        <v>111.6</v>
      </c>
      <c r="H844" s="26">
        <v>111.6</v>
      </c>
      <c r="I844" s="264">
        <f t="shared" si="61"/>
        <v>0.88047552747135049</v>
      </c>
      <c r="J844" s="48" t="s">
        <v>1408</v>
      </c>
      <c r="K844" s="19" t="s">
        <v>29</v>
      </c>
      <c r="L844" s="19">
        <v>100</v>
      </c>
      <c r="M844" s="111">
        <v>100</v>
      </c>
      <c r="N844" s="20"/>
      <c r="O844" s="20"/>
      <c r="P844" s="20"/>
      <c r="Q844" s="20"/>
      <c r="R844" s="147"/>
      <c r="S844" s="52"/>
    </row>
    <row r="845" spans="1:19" ht="39" thickBot="1" x14ac:dyDescent="0.3">
      <c r="A845" s="16" t="s">
        <v>1411</v>
      </c>
      <c r="B845" s="42" t="s">
        <v>1412</v>
      </c>
      <c r="C845" s="17" t="s">
        <v>32</v>
      </c>
      <c r="D845" s="26">
        <v>138</v>
      </c>
      <c r="E845" s="26">
        <v>138</v>
      </c>
      <c r="F845" s="26">
        <v>62.2</v>
      </c>
      <c r="G845" s="26">
        <v>75.8</v>
      </c>
      <c r="H845" s="26">
        <v>75.8</v>
      </c>
      <c r="I845" s="264">
        <f t="shared" si="61"/>
        <v>0.45072463768115945</v>
      </c>
      <c r="J845" s="48" t="s">
        <v>1408</v>
      </c>
      <c r="K845" s="19" t="s">
        <v>29</v>
      </c>
      <c r="L845" s="19">
        <v>100</v>
      </c>
      <c r="M845" s="111">
        <v>100</v>
      </c>
      <c r="N845" s="20"/>
      <c r="O845" s="20"/>
      <c r="P845" s="20"/>
      <c r="Q845" s="20"/>
      <c r="R845" s="147"/>
      <c r="S845" s="52"/>
    </row>
    <row r="846" spans="1:19" ht="262.5" customHeight="1" x14ac:dyDescent="0.25">
      <c r="A846" s="306" t="s">
        <v>1413</v>
      </c>
      <c r="B846" s="308" t="s">
        <v>1414</v>
      </c>
      <c r="C846" s="17"/>
      <c r="D846" s="18">
        <f>SUM(D847:D849)</f>
        <v>204</v>
      </c>
      <c r="E846" s="18">
        <f>SUM(E847:E849)</f>
        <v>204</v>
      </c>
      <c r="F846" s="18">
        <f>SUM(F847:F849)</f>
        <v>204</v>
      </c>
      <c r="G846" s="18"/>
      <c r="H846" s="18"/>
      <c r="I846" s="261">
        <f t="shared" si="61"/>
        <v>1</v>
      </c>
      <c r="J846" s="314" t="s">
        <v>1388</v>
      </c>
      <c r="K846" s="323" t="s">
        <v>29</v>
      </c>
      <c r="L846" s="323">
        <v>100</v>
      </c>
      <c r="M846" s="347">
        <v>100</v>
      </c>
      <c r="N846" s="20"/>
      <c r="O846" s="20"/>
      <c r="P846" s="20"/>
      <c r="Q846" s="20"/>
      <c r="R846" s="308" t="s">
        <v>1914</v>
      </c>
      <c r="S846" s="303"/>
    </row>
    <row r="847" spans="1:19" x14ac:dyDescent="0.25">
      <c r="A847" s="406"/>
      <c r="B847" s="310"/>
      <c r="C847" s="22" t="s">
        <v>32</v>
      </c>
      <c r="D847" s="23">
        <v>135.69999999999999</v>
      </c>
      <c r="E847" s="23">
        <v>135.69999999999999</v>
      </c>
      <c r="F847" s="23">
        <v>135.69999999999999</v>
      </c>
      <c r="G847" s="23"/>
      <c r="H847" s="54"/>
      <c r="I847" s="262">
        <f t="shared" si="61"/>
        <v>1</v>
      </c>
      <c r="J847" s="315"/>
      <c r="K847" s="324"/>
      <c r="L847" s="324"/>
      <c r="M847" s="348"/>
      <c r="N847" s="25"/>
      <c r="O847" s="25"/>
      <c r="P847" s="25"/>
      <c r="Q847" s="25"/>
      <c r="R847" s="310"/>
      <c r="S847" s="304"/>
    </row>
    <row r="848" spans="1:19" x14ac:dyDescent="0.25">
      <c r="A848" s="406"/>
      <c r="B848" s="310"/>
      <c r="C848" s="22" t="s">
        <v>30</v>
      </c>
      <c r="D848" s="23">
        <v>63.3</v>
      </c>
      <c r="E848" s="23">
        <v>63.3</v>
      </c>
      <c r="F848" s="23">
        <v>63.3</v>
      </c>
      <c r="G848" s="23"/>
      <c r="H848" s="54"/>
      <c r="I848" s="262">
        <f t="shared" si="61"/>
        <v>1</v>
      </c>
      <c r="J848" s="315"/>
      <c r="K848" s="324"/>
      <c r="L848" s="324"/>
      <c r="M848" s="348"/>
      <c r="N848" s="25"/>
      <c r="O848" s="25"/>
      <c r="P848" s="25"/>
      <c r="Q848" s="25"/>
      <c r="R848" s="310"/>
      <c r="S848" s="304"/>
    </row>
    <row r="849" spans="1:19" ht="21.75" customHeight="1" thickBot="1" x14ac:dyDescent="0.3">
      <c r="A849" s="307"/>
      <c r="B849" s="309"/>
      <c r="C849" s="22" t="s">
        <v>55</v>
      </c>
      <c r="D849" s="23">
        <v>5</v>
      </c>
      <c r="E849" s="23">
        <v>5</v>
      </c>
      <c r="F849" s="23">
        <v>5</v>
      </c>
      <c r="G849" s="23"/>
      <c r="H849" s="23"/>
      <c r="I849" s="279">
        <f t="shared" si="61"/>
        <v>1</v>
      </c>
      <c r="J849" s="316"/>
      <c r="K849" s="325"/>
      <c r="L849" s="325"/>
      <c r="M849" s="349"/>
      <c r="N849" s="25"/>
      <c r="O849" s="25"/>
      <c r="P849" s="25"/>
      <c r="Q849" s="25"/>
      <c r="R849" s="309"/>
      <c r="S849" s="305"/>
    </row>
    <row r="850" spans="1:19" ht="63.75" x14ac:dyDescent="0.25">
      <c r="A850" s="306" t="s">
        <v>1415</v>
      </c>
      <c r="B850" s="308" t="s">
        <v>1416</v>
      </c>
      <c r="C850" s="17" t="s">
        <v>32</v>
      </c>
      <c r="D850" s="18">
        <f>SUM(D851:D852)+58</f>
        <v>58</v>
      </c>
      <c r="E850" s="18">
        <f>SUM(E851:E852)+58</f>
        <v>58</v>
      </c>
      <c r="F850" s="18">
        <f>SUM(F851:F852)+48.1</f>
        <v>48.1</v>
      </c>
      <c r="G850" s="18">
        <f>SUM(G851:G852)+9.9</f>
        <v>9.9</v>
      </c>
      <c r="H850" s="18">
        <f>SUM(H851:H852)+9.9</f>
        <v>9.9</v>
      </c>
      <c r="I850" s="264">
        <f t="shared" si="61"/>
        <v>0.82931034482758625</v>
      </c>
      <c r="J850" s="48" t="s">
        <v>1417</v>
      </c>
      <c r="K850" s="19" t="s">
        <v>57</v>
      </c>
      <c r="L850" s="98">
        <v>21500</v>
      </c>
      <c r="M850" s="135">
        <v>26000</v>
      </c>
      <c r="N850" s="20"/>
      <c r="O850" s="20"/>
      <c r="P850" s="20"/>
      <c r="Q850" s="20"/>
      <c r="R850" s="48" t="s">
        <v>1915</v>
      </c>
      <c r="S850" s="52"/>
    </row>
    <row r="851" spans="1:19" ht="127.5" x14ac:dyDescent="0.25">
      <c r="A851" s="406"/>
      <c r="B851" s="310"/>
      <c r="C851" s="22"/>
      <c r="D851" s="23"/>
      <c r="E851" s="23"/>
      <c r="F851" s="23"/>
      <c r="G851" s="23"/>
      <c r="H851" s="23"/>
      <c r="I851" s="269"/>
      <c r="J851" s="49" t="s">
        <v>1418</v>
      </c>
      <c r="K851" s="24" t="s">
        <v>57</v>
      </c>
      <c r="L851" s="94">
        <v>2500</v>
      </c>
      <c r="M851" s="114">
        <v>2743</v>
      </c>
      <c r="N851" s="25"/>
      <c r="O851" s="25"/>
      <c r="P851" s="25"/>
      <c r="Q851" s="25"/>
      <c r="R851" s="49" t="s">
        <v>1419</v>
      </c>
      <c r="S851" s="86"/>
    </row>
    <row r="852" spans="1:19" ht="39" thickBot="1" x14ac:dyDescent="0.3">
      <c r="A852" s="307"/>
      <c r="B852" s="309"/>
      <c r="C852" s="22"/>
      <c r="D852" s="23"/>
      <c r="E852" s="23"/>
      <c r="F852" s="23"/>
      <c r="G852" s="23"/>
      <c r="H852" s="23"/>
      <c r="I852" s="269"/>
      <c r="J852" s="49" t="s">
        <v>1420</v>
      </c>
      <c r="K852" s="24" t="s">
        <v>29</v>
      </c>
      <c r="L852" s="24">
        <v>100</v>
      </c>
      <c r="M852" s="104">
        <v>100</v>
      </c>
      <c r="N852" s="25"/>
      <c r="O852" s="25"/>
      <c r="P852" s="25"/>
      <c r="Q852" s="25"/>
      <c r="R852" s="145"/>
      <c r="S852" s="155"/>
    </row>
    <row r="853" spans="1:19" ht="38.25" x14ac:dyDescent="0.25">
      <c r="A853" s="306" t="s">
        <v>1421</v>
      </c>
      <c r="B853" s="308" t="s">
        <v>1422</v>
      </c>
      <c r="C853" s="17"/>
      <c r="D853" s="18">
        <f>SUM(D854:D855)</f>
        <v>277.10000000000002</v>
      </c>
      <c r="E853" s="18">
        <f>SUM(E854:E855)</f>
        <v>277.10000000000002</v>
      </c>
      <c r="F853" s="18">
        <f>SUM(F854:F855)</f>
        <v>246.79999999999998</v>
      </c>
      <c r="G853" s="18">
        <f>SUM(G854:G855)</f>
        <v>30.3</v>
      </c>
      <c r="H853" s="18">
        <f>SUM(H854:H855)</f>
        <v>30.3</v>
      </c>
      <c r="I853" s="261">
        <f t="shared" ref="I853:I858" si="62">SUM(F853/E853)</f>
        <v>0.89065319379285446</v>
      </c>
      <c r="J853" s="48" t="s">
        <v>1389</v>
      </c>
      <c r="K853" s="19" t="s">
        <v>22</v>
      </c>
      <c r="L853" s="19">
        <v>40</v>
      </c>
      <c r="M853" s="107">
        <v>60</v>
      </c>
      <c r="N853" s="20"/>
      <c r="O853" s="20"/>
      <c r="P853" s="20"/>
      <c r="Q853" s="20"/>
      <c r="R853" s="48" t="s">
        <v>1911</v>
      </c>
      <c r="S853" s="52"/>
    </row>
    <row r="854" spans="1:19" ht="44.25" customHeight="1" x14ac:dyDescent="0.25">
      <c r="A854" s="406"/>
      <c r="B854" s="310"/>
      <c r="C854" s="22" t="s">
        <v>32</v>
      </c>
      <c r="D854" s="23">
        <v>249.1</v>
      </c>
      <c r="E854" s="23">
        <v>249.1</v>
      </c>
      <c r="F854" s="23">
        <v>219.1</v>
      </c>
      <c r="G854" s="23">
        <v>30</v>
      </c>
      <c r="H854" s="54">
        <v>30</v>
      </c>
      <c r="I854" s="262">
        <f t="shared" si="62"/>
        <v>0.87956643918105182</v>
      </c>
      <c r="J854" s="333" t="s">
        <v>1423</v>
      </c>
      <c r="K854" s="334" t="s">
        <v>22</v>
      </c>
      <c r="L854" s="334">
        <v>10</v>
      </c>
      <c r="M854" s="335">
        <v>11</v>
      </c>
      <c r="N854" s="25"/>
      <c r="O854" s="25"/>
      <c r="P854" s="25"/>
      <c r="Q854" s="25"/>
      <c r="R854" s="338" t="s">
        <v>1916</v>
      </c>
      <c r="S854" s="339"/>
    </row>
    <row r="855" spans="1:19" ht="15.75" thickBot="1" x14ac:dyDescent="0.3">
      <c r="A855" s="307"/>
      <c r="B855" s="309"/>
      <c r="C855" s="22" t="s">
        <v>30</v>
      </c>
      <c r="D855" s="23">
        <v>28</v>
      </c>
      <c r="E855" s="23">
        <v>28</v>
      </c>
      <c r="F855" s="23">
        <v>27.7</v>
      </c>
      <c r="G855" s="23">
        <v>0.3</v>
      </c>
      <c r="H855" s="23">
        <v>0.3</v>
      </c>
      <c r="I855" s="279">
        <f t="shared" si="62"/>
        <v>0.98928571428571421</v>
      </c>
      <c r="J855" s="316"/>
      <c r="K855" s="325"/>
      <c r="L855" s="325"/>
      <c r="M855" s="337"/>
      <c r="N855" s="25"/>
      <c r="O855" s="25"/>
      <c r="P855" s="25"/>
      <c r="Q855" s="25"/>
      <c r="R855" s="309"/>
      <c r="S855" s="305"/>
    </row>
    <row r="856" spans="1:19" ht="54" customHeight="1" x14ac:dyDescent="0.25">
      <c r="A856" s="306" t="s">
        <v>1424</v>
      </c>
      <c r="B856" s="308" t="s">
        <v>1425</v>
      </c>
      <c r="C856" s="17"/>
      <c r="D856" s="18">
        <f>SUM(D857:D857)</f>
        <v>5.0999999999999996</v>
      </c>
      <c r="E856" s="18">
        <f>SUM(E857:E857)</f>
        <v>5.0999999999999996</v>
      </c>
      <c r="F856" s="18">
        <f>SUM(F857:F857)</f>
        <v>5.0999999999999996</v>
      </c>
      <c r="G856" s="18">
        <f>SUM(G857:G857)</f>
        <v>0</v>
      </c>
      <c r="H856" s="18">
        <f>SUM(H857:H857)</f>
        <v>0</v>
      </c>
      <c r="I856" s="264">
        <f t="shared" si="62"/>
        <v>1</v>
      </c>
      <c r="J856" s="308" t="s">
        <v>1675</v>
      </c>
      <c r="K856" s="323" t="s">
        <v>57</v>
      </c>
      <c r="L856" s="323">
        <v>3</v>
      </c>
      <c r="M856" s="346">
        <v>4</v>
      </c>
      <c r="N856" s="20"/>
      <c r="O856" s="20"/>
      <c r="P856" s="20"/>
      <c r="Q856" s="20"/>
      <c r="R856" s="308" t="s">
        <v>1426</v>
      </c>
      <c r="S856" s="303"/>
    </row>
    <row r="857" spans="1:19" ht="15.75" thickBot="1" x14ac:dyDescent="0.3">
      <c r="A857" s="307"/>
      <c r="B857" s="309"/>
      <c r="C857" s="22" t="s">
        <v>481</v>
      </c>
      <c r="D857" s="23">
        <v>5.0999999999999996</v>
      </c>
      <c r="E857" s="23">
        <v>5.0999999999999996</v>
      </c>
      <c r="F857" s="23">
        <v>5.0999999999999996</v>
      </c>
      <c r="G857" s="23"/>
      <c r="H857" s="23"/>
      <c r="I857" s="279">
        <f t="shared" si="62"/>
        <v>1</v>
      </c>
      <c r="J857" s="309"/>
      <c r="K857" s="325"/>
      <c r="L857" s="325"/>
      <c r="M857" s="337"/>
      <c r="N857" s="25"/>
      <c r="O857" s="25"/>
      <c r="P857" s="25"/>
      <c r="Q857" s="25"/>
      <c r="R857" s="309"/>
      <c r="S857" s="305"/>
    </row>
    <row r="858" spans="1:19" ht="45.75" customHeight="1" x14ac:dyDescent="0.25">
      <c r="A858" s="306" t="s">
        <v>1427</v>
      </c>
      <c r="B858" s="308" t="s">
        <v>1428</v>
      </c>
      <c r="C858" s="17"/>
      <c r="D858" s="18">
        <f>SUM(D859:D863)</f>
        <v>1077.5</v>
      </c>
      <c r="E858" s="18">
        <f>SUM(E859:E863)</f>
        <v>1077.5</v>
      </c>
      <c r="F858" s="18">
        <f>SUM(F859:F863)+0.1</f>
        <v>960.1</v>
      </c>
      <c r="G858" s="18">
        <f>SUM(G859:G863)-0.1</f>
        <v>117.4</v>
      </c>
      <c r="H858" s="18">
        <f>SUM(H859:H863)-0.1</f>
        <v>117.4</v>
      </c>
      <c r="I858" s="264">
        <f t="shared" si="62"/>
        <v>0.89104408352668218</v>
      </c>
      <c r="J858" s="48" t="s">
        <v>1429</v>
      </c>
      <c r="K858" s="19" t="s">
        <v>29</v>
      </c>
      <c r="L858" s="19">
        <v>100</v>
      </c>
      <c r="M858" s="111">
        <v>100</v>
      </c>
      <c r="N858" s="20"/>
      <c r="O858" s="20"/>
      <c r="P858" s="20"/>
      <c r="Q858" s="20"/>
      <c r="R858" s="311"/>
      <c r="S858" s="303"/>
    </row>
    <row r="859" spans="1:19" ht="38.25" x14ac:dyDescent="0.25">
      <c r="A859" s="406"/>
      <c r="B859" s="310"/>
      <c r="C859" s="22"/>
      <c r="D859" s="23"/>
      <c r="E859" s="23"/>
      <c r="F859" s="23"/>
      <c r="G859" s="23"/>
      <c r="H859" s="23"/>
      <c r="I859" s="269"/>
      <c r="J859" s="49" t="s">
        <v>1430</v>
      </c>
      <c r="K859" s="24" t="s">
        <v>29</v>
      </c>
      <c r="L859" s="24">
        <v>100</v>
      </c>
      <c r="M859" s="104">
        <v>100</v>
      </c>
      <c r="N859" s="25"/>
      <c r="O859" s="25"/>
      <c r="P859" s="25"/>
      <c r="Q859" s="25"/>
      <c r="R859" s="312"/>
      <c r="S859" s="304"/>
    </row>
    <row r="860" spans="1:19" ht="55.5" customHeight="1" thickBot="1" x14ac:dyDescent="0.3">
      <c r="A860" s="307"/>
      <c r="B860" s="309"/>
      <c r="C860" s="22"/>
      <c r="D860" s="23"/>
      <c r="E860" s="23"/>
      <c r="F860" s="23"/>
      <c r="G860" s="23"/>
      <c r="H860" s="23"/>
      <c r="I860" s="269"/>
      <c r="J860" s="49" t="s">
        <v>1431</v>
      </c>
      <c r="K860" s="24" t="s">
        <v>57</v>
      </c>
      <c r="L860" s="24">
        <v>11</v>
      </c>
      <c r="M860" s="104">
        <v>11</v>
      </c>
      <c r="N860" s="25"/>
      <c r="O860" s="25"/>
      <c r="P860" s="25"/>
      <c r="Q860" s="25"/>
      <c r="R860" s="313"/>
      <c r="S860" s="305"/>
    </row>
    <row r="861" spans="1:19" ht="26.25" thickBot="1" x14ac:dyDescent="0.3">
      <c r="A861" s="16" t="s">
        <v>1432</v>
      </c>
      <c r="B861" s="42" t="s">
        <v>1433</v>
      </c>
      <c r="C861" s="17" t="s">
        <v>32</v>
      </c>
      <c r="D861" s="26">
        <v>482.3</v>
      </c>
      <c r="E861" s="26">
        <v>482.3</v>
      </c>
      <c r="F861" s="26">
        <v>465.8</v>
      </c>
      <c r="G861" s="26">
        <v>16.5</v>
      </c>
      <c r="H861" s="26">
        <v>16.5</v>
      </c>
      <c r="I861" s="264">
        <f t="shared" ref="I861:I880" si="63">SUM(F861/E861)</f>
        <v>0.96578892805307903</v>
      </c>
      <c r="J861" s="48" t="s">
        <v>1434</v>
      </c>
      <c r="K861" s="19" t="s">
        <v>29</v>
      </c>
      <c r="L861" s="19">
        <v>100</v>
      </c>
      <c r="M861" s="111">
        <v>100</v>
      </c>
      <c r="N861" s="20"/>
      <c r="O861" s="20"/>
      <c r="P861" s="20"/>
      <c r="Q861" s="20"/>
      <c r="R861" s="147"/>
      <c r="S861" s="52"/>
    </row>
    <row r="862" spans="1:19" ht="26.25" thickBot="1" x14ac:dyDescent="0.3">
      <c r="A862" s="16" t="s">
        <v>1435</v>
      </c>
      <c r="B862" s="42" t="s">
        <v>1436</v>
      </c>
      <c r="C862" s="17" t="s">
        <v>32</v>
      </c>
      <c r="D862" s="26">
        <v>15</v>
      </c>
      <c r="E862" s="26">
        <v>15</v>
      </c>
      <c r="F862" s="26">
        <v>14.7</v>
      </c>
      <c r="G862" s="26">
        <v>0.3</v>
      </c>
      <c r="H862" s="26">
        <v>0.3</v>
      </c>
      <c r="I862" s="264">
        <f t="shared" si="63"/>
        <v>0.98</v>
      </c>
      <c r="J862" s="48" t="s">
        <v>679</v>
      </c>
      <c r="K862" s="19" t="s">
        <v>29</v>
      </c>
      <c r="L862" s="19">
        <v>100</v>
      </c>
      <c r="M862" s="111">
        <v>100</v>
      </c>
      <c r="N862" s="20"/>
      <c r="O862" s="20"/>
      <c r="P862" s="20"/>
      <c r="Q862" s="20"/>
      <c r="R862" s="147"/>
      <c r="S862" s="120"/>
    </row>
    <row r="863" spans="1:19" ht="27" customHeight="1" x14ac:dyDescent="0.25">
      <c r="A863" s="306" t="s">
        <v>1437</v>
      </c>
      <c r="B863" s="308" t="s">
        <v>1438</v>
      </c>
      <c r="C863" s="17"/>
      <c r="D863" s="18">
        <f>SUM(D864:D865)</f>
        <v>580.20000000000005</v>
      </c>
      <c r="E863" s="18">
        <f>SUM(E864:E865)</f>
        <v>580.20000000000005</v>
      </c>
      <c r="F863" s="18">
        <f>SUM(F864:F865)</f>
        <v>479.5</v>
      </c>
      <c r="G863" s="18">
        <f>SUM(G864:G865)</f>
        <v>100.7</v>
      </c>
      <c r="H863" s="18">
        <f>SUM(H864:H865)</f>
        <v>100.7</v>
      </c>
      <c r="I863" s="261">
        <f t="shared" si="63"/>
        <v>0.8264391589107204</v>
      </c>
      <c r="J863" s="314" t="s">
        <v>1431</v>
      </c>
      <c r="K863" s="323" t="s">
        <v>22</v>
      </c>
      <c r="L863" s="323">
        <v>11</v>
      </c>
      <c r="M863" s="347">
        <v>11</v>
      </c>
      <c r="N863" s="20"/>
      <c r="O863" s="20"/>
      <c r="P863" s="20"/>
      <c r="Q863" s="20"/>
      <c r="R863" s="320"/>
      <c r="S863" s="317"/>
    </row>
    <row r="864" spans="1:19" x14ac:dyDescent="0.25">
      <c r="A864" s="406"/>
      <c r="B864" s="310"/>
      <c r="C864" s="22" t="s">
        <v>32</v>
      </c>
      <c r="D864" s="23">
        <v>485.2</v>
      </c>
      <c r="E864" s="23">
        <v>485.2</v>
      </c>
      <c r="F864" s="23">
        <v>384.5</v>
      </c>
      <c r="G864" s="23">
        <v>100.7</v>
      </c>
      <c r="H864" s="54">
        <v>100.7</v>
      </c>
      <c r="I864" s="262">
        <f t="shared" si="63"/>
        <v>0.79245671887881286</v>
      </c>
      <c r="J864" s="315"/>
      <c r="K864" s="324"/>
      <c r="L864" s="324"/>
      <c r="M864" s="348"/>
      <c r="N864" s="25"/>
      <c r="O864" s="25"/>
      <c r="P864" s="25"/>
      <c r="Q864" s="25"/>
      <c r="R864" s="321"/>
      <c r="S864" s="318"/>
    </row>
    <row r="865" spans="1:19" ht="15.75" thickBot="1" x14ac:dyDescent="0.3">
      <c r="A865" s="307"/>
      <c r="B865" s="309"/>
      <c r="C865" s="22" t="s">
        <v>30</v>
      </c>
      <c r="D865" s="23">
        <v>95</v>
      </c>
      <c r="E865" s="23">
        <v>95</v>
      </c>
      <c r="F865" s="23">
        <v>95</v>
      </c>
      <c r="G865" s="23"/>
      <c r="H865" s="23"/>
      <c r="I865" s="279">
        <f t="shared" si="63"/>
        <v>1</v>
      </c>
      <c r="J865" s="316"/>
      <c r="K865" s="325"/>
      <c r="L865" s="325"/>
      <c r="M865" s="349"/>
      <c r="N865" s="25"/>
      <c r="O865" s="25"/>
      <c r="P865" s="25"/>
      <c r="Q865" s="25"/>
      <c r="R865" s="322"/>
      <c r="S865" s="319"/>
    </row>
    <row r="866" spans="1:19" ht="60" customHeight="1" x14ac:dyDescent="0.25">
      <c r="A866" s="306" t="s">
        <v>1439</v>
      </c>
      <c r="B866" s="308" t="s">
        <v>1440</v>
      </c>
      <c r="C866" s="17"/>
      <c r="D866" s="18">
        <f>SUM(D867:D868)</f>
        <v>342.5</v>
      </c>
      <c r="E866" s="18">
        <f>SUM(E867:E868)</f>
        <v>342.5</v>
      </c>
      <c r="F866" s="18">
        <f>SUM(F867:F868)</f>
        <v>340.5</v>
      </c>
      <c r="G866" s="18">
        <f>SUM(G867:G868)</f>
        <v>2</v>
      </c>
      <c r="H866" s="18">
        <f>SUM(H867:H868)</f>
        <v>2</v>
      </c>
      <c r="I866" s="261">
        <f t="shared" si="63"/>
        <v>0.99416058394160589</v>
      </c>
      <c r="J866" s="314" t="s">
        <v>1441</v>
      </c>
      <c r="K866" s="323" t="s">
        <v>57</v>
      </c>
      <c r="L866" s="323">
        <v>5</v>
      </c>
      <c r="M866" s="347">
        <v>5</v>
      </c>
      <c r="N866" s="20"/>
      <c r="O866" s="20"/>
      <c r="P866" s="20"/>
      <c r="Q866" s="20"/>
      <c r="R866" s="308" t="s">
        <v>1917</v>
      </c>
      <c r="S866" s="317"/>
    </row>
    <row r="867" spans="1:19" x14ac:dyDescent="0.25">
      <c r="A867" s="406"/>
      <c r="B867" s="310"/>
      <c r="C867" s="22" t="s">
        <v>30</v>
      </c>
      <c r="D867" s="23">
        <v>8</v>
      </c>
      <c r="E867" s="23">
        <v>8</v>
      </c>
      <c r="F867" s="23">
        <v>8</v>
      </c>
      <c r="G867" s="23"/>
      <c r="H867" s="54"/>
      <c r="I867" s="262">
        <f t="shared" si="63"/>
        <v>1</v>
      </c>
      <c r="J867" s="315"/>
      <c r="K867" s="324"/>
      <c r="L867" s="324"/>
      <c r="M867" s="348"/>
      <c r="N867" s="25"/>
      <c r="O867" s="25"/>
      <c r="P867" s="25"/>
      <c r="Q867" s="25"/>
      <c r="R867" s="310"/>
      <c r="S867" s="318"/>
    </row>
    <row r="868" spans="1:19" ht="15.75" thickBot="1" x14ac:dyDescent="0.3">
      <c r="A868" s="307"/>
      <c r="B868" s="309"/>
      <c r="C868" s="22" t="s">
        <v>32</v>
      </c>
      <c r="D868" s="23">
        <v>334.5</v>
      </c>
      <c r="E868" s="23">
        <v>334.5</v>
      </c>
      <c r="F868" s="23">
        <v>332.5</v>
      </c>
      <c r="G868" s="23">
        <v>2</v>
      </c>
      <c r="H868" s="23">
        <v>2</v>
      </c>
      <c r="I868" s="279">
        <f t="shared" si="63"/>
        <v>0.99402092675635279</v>
      </c>
      <c r="J868" s="316"/>
      <c r="K868" s="325"/>
      <c r="L868" s="325"/>
      <c r="M868" s="349"/>
      <c r="N868" s="25"/>
      <c r="O868" s="25"/>
      <c r="P868" s="25"/>
      <c r="Q868" s="25"/>
      <c r="R868" s="309"/>
      <c r="S868" s="319"/>
    </row>
    <row r="869" spans="1:19" ht="27" customHeight="1" x14ac:dyDescent="0.25">
      <c r="A869" s="306" t="s">
        <v>1442</v>
      </c>
      <c r="B869" s="308" t="s">
        <v>1443</v>
      </c>
      <c r="C869" s="17"/>
      <c r="D869" s="18">
        <f>SUM(D870:D871)</f>
        <v>1775.8999999999999</v>
      </c>
      <c r="E869" s="18">
        <f>SUM(E870:E871)</f>
        <v>1775.8999999999999</v>
      </c>
      <c r="F869" s="18">
        <f>SUM(F870:F871)</f>
        <v>1771.5</v>
      </c>
      <c r="G869" s="18">
        <f>SUM(G870:G871)</f>
        <v>4.3999999999999995</v>
      </c>
      <c r="H869" s="18">
        <f>SUM(H870:H871)</f>
        <v>4.3999999999999995</v>
      </c>
      <c r="I869" s="261">
        <f t="shared" si="63"/>
        <v>0.99752238301706186</v>
      </c>
      <c r="J869" s="314" t="s">
        <v>1444</v>
      </c>
      <c r="K869" s="323" t="s">
        <v>29</v>
      </c>
      <c r="L869" s="323">
        <v>100</v>
      </c>
      <c r="M869" s="347">
        <v>100</v>
      </c>
      <c r="N869" s="20"/>
      <c r="O869" s="20"/>
      <c r="P869" s="20"/>
      <c r="Q869" s="20"/>
      <c r="R869" s="320"/>
      <c r="S869" s="317"/>
    </row>
    <row r="870" spans="1:19" x14ac:dyDescent="0.25">
      <c r="A870" s="406"/>
      <c r="B870" s="310"/>
      <c r="C870" s="22" t="s">
        <v>32</v>
      </c>
      <c r="D870" s="23">
        <v>1775.3</v>
      </c>
      <c r="E870" s="23">
        <v>1775.3</v>
      </c>
      <c r="F870" s="23">
        <v>1771.5</v>
      </c>
      <c r="G870" s="23">
        <v>3.8</v>
      </c>
      <c r="H870" s="54">
        <v>3.8</v>
      </c>
      <c r="I870" s="262">
        <f t="shared" si="63"/>
        <v>0.9978595167014026</v>
      </c>
      <c r="J870" s="315"/>
      <c r="K870" s="324"/>
      <c r="L870" s="324"/>
      <c r="M870" s="348"/>
      <c r="N870" s="25"/>
      <c r="O870" s="25"/>
      <c r="P870" s="25"/>
      <c r="Q870" s="25"/>
      <c r="R870" s="321"/>
      <c r="S870" s="318"/>
    </row>
    <row r="871" spans="1:19" ht="15.75" thickBot="1" x14ac:dyDescent="0.3">
      <c r="A871" s="307"/>
      <c r="B871" s="309"/>
      <c r="C871" s="22" t="s">
        <v>172</v>
      </c>
      <c r="D871" s="23">
        <v>0.6</v>
      </c>
      <c r="E871" s="23">
        <v>0.6</v>
      </c>
      <c r="F871" s="23"/>
      <c r="G871" s="23">
        <v>0.6</v>
      </c>
      <c r="H871" s="23">
        <v>0.6</v>
      </c>
      <c r="I871" s="279">
        <f t="shared" si="63"/>
        <v>0</v>
      </c>
      <c r="J871" s="316"/>
      <c r="K871" s="325"/>
      <c r="L871" s="325"/>
      <c r="M871" s="349"/>
      <c r="N871" s="25"/>
      <c r="O871" s="25"/>
      <c r="P871" s="25"/>
      <c r="Q871" s="25"/>
      <c r="R871" s="322"/>
      <c r="S871" s="319"/>
    </row>
    <row r="872" spans="1:19" ht="30.75" customHeight="1" x14ac:dyDescent="0.25">
      <c r="A872" s="306" t="s">
        <v>1445</v>
      </c>
      <c r="B872" s="308" t="s">
        <v>1446</v>
      </c>
      <c r="C872" s="17"/>
      <c r="D872" s="18">
        <f>SUM(D873:D874)</f>
        <v>98.4</v>
      </c>
      <c r="E872" s="18">
        <f>SUM(E873:E874)</f>
        <v>98.4</v>
      </c>
      <c r="F872" s="18">
        <f>SUM(F873:F874)</f>
        <v>77.599999999999994</v>
      </c>
      <c r="G872" s="18">
        <f>SUM(G873:G874)</f>
        <v>20.8</v>
      </c>
      <c r="H872" s="18">
        <f>SUM(H873:H874)</f>
        <v>20.8</v>
      </c>
      <c r="I872" s="261">
        <f t="shared" si="63"/>
        <v>0.78861788617886164</v>
      </c>
      <c r="J872" s="314" t="s">
        <v>1447</v>
      </c>
      <c r="K872" s="323" t="s">
        <v>29</v>
      </c>
      <c r="L872" s="323">
        <v>100</v>
      </c>
      <c r="M872" s="347">
        <v>100</v>
      </c>
      <c r="N872" s="20"/>
      <c r="O872" s="20"/>
      <c r="P872" s="20"/>
      <c r="Q872" s="20"/>
      <c r="R872" s="320"/>
      <c r="S872" s="317"/>
    </row>
    <row r="873" spans="1:19" x14ac:dyDescent="0.25">
      <c r="A873" s="406"/>
      <c r="B873" s="310"/>
      <c r="C873" s="22" t="s">
        <v>32</v>
      </c>
      <c r="D873" s="23">
        <v>97.9</v>
      </c>
      <c r="E873" s="23">
        <v>97.9</v>
      </c>
      <c r="F873" s="23">
        <v>77.099999999999994</v>
      </c>
      <c r="G873" s="23">
        <v>20.8</v>
      </c>
      <c r="H873" s="54">
        <v>20.8</v>
      </c>
      <c r="I873" s="262">
        <f t="shared" si="63"/>
        <v>0.78753830439223682</v>
      </c>
      <c r="J873" s="315"/>
      <c r="K873" s="324"/>
      <c r="L873" s="324"/>
      <c r="M873" s="348"/>
      <c r="N873" s="25"/>
      <c r="O873" s="25"/>
      <c r="P873" s="25"/>
      <c r="Q873" s="25"/>
      <c r="R873" s="321"/>
      <c r="S873" s="318"/>
    </row>
    <row r="874" spans="1:19" ht="15.75" thickBot="1" x14ac:dyDescent="0.3">
      <c r="A874" s="307"/>
      <c r="B874" s="309"/>
      <c r="C874" s="22" t="s">
        <v>30</v>
      </c>
      <c r="D874" s="23">
        <v>0.5</v>
      </c>
      <c r="E874" s="23">
        <v>0.5</v>
      </c>
      <c r="F874" s="23">
        <v>0.5</v>
      </c>
      <c r="G874" s="23"/>
      <c r="H874" s="23"/>
      <c r="I874" s="279">
        <f t="shared" si="63"/>
        <v>1</v>
      </c>
      <c r="J874" s="316"/>
      <c r="K874" s="325"/>
      <c r="L874" s="325"/>
      <c r="M874" s="349"/>
      <c r="N874" s="25"/>
      <c r="O874" s="25"/>
      <c r="P874" s="25"/>
      <c r="Q874" s="25"/>
      <c r="R874" s="322"/>
      <c r="S874" s="319"/>
    </row>
    <row r="875" spans="1:19" ht="52.5" customHeight="1" thickBot="1" x14ac:dyDescent="0.3">
      <c r="A875" s="201" t="s">
        <v>1448</v>
      </c>
      <c r="B875" s="70" t="s">
        <v>1449</v>
      </c>
      <c r="C875" s="205" t="s">
        <v>32</v>
      </c>
      <c r="D875" s="206">
        <v>315</v>
      </c>
      <c r="E875" s="206">
        <v>315</v>
      </c>
      <c r="F875" s="206">
        <v>22.2</v>
      </c>
      <c r="G875" s="206">
        <v>292.8</v>
      </c>
      <c r="H875" s="206">
        <v>292.8</v>
      </c>
      <c r="I875" s="261">
        <f t="shared" si="63"/>
        <v>7.047619047619047E-2</v>
      </c>
      <c r="J875" s="70" t="s">
        <v>1450</v>
      </c>
      <c r="K875" s="74" t="s">
        <v>29</v>
      </c>
      <c r="L875" s="74">
        <v>100</v>
      </c>
      <c r="M875" s="138">
        <v>100</v>
      </c>
      <c r="N875" s="75"/>
      <c r="O875" s="75"/>
      <c r="P875" s="75"/>
      <c r="Q875" s="75"/>
      <c r="R875" s="70" t="s">
        <v>1918</v>
      </c>
      <c r="S875" s="148"/>
    </row>
    <row r="876" spans="1:19" ht="38.25" x14ac:dyDescent="0.25">
      <c r="A876" s="410" t="s">
        <v>1451</v>
      </c>
      <c r="B876" s="398" t="s">
        <v>1452</v>
      </c>
      <c r="C876" s="194"/>
      <c r="D876" s="195">
        <f>SUM(D877:D878)</f>
        <v>120</v>
      </c>
      <c r="E876" s="195">
        <f>SUM(E877:E878)</f>
        <v>120</v>
      </c>
      <c r="F876" s="195">
        <f>SUM(F877:F878)</f>
        <v>111.3</v>
      </c>
      <c r="G876" s="195">
        <f>SUM(G877:G878)</f>
        <v>8.6999999999999993</v>
      </c>
      <c r="H876" s="195">
        <f>SUM(H877:H878)</f>
        <v>8.6999999999999993</v>
      </c>
      <c r="I876" s="271">
        <f t="shared" si="63"/>
        <v>0.92749999999999999</v>
      </c>
      <c r="J876" s="207" t="s">
        <v>1453</v>
      </c>
      <c r="K876" s="208" t="s">
        <v>22</v>
      </c>
      <c r="L876" s="208">
        <v>1</v>
      </c>
      <c r="M876" s="209">
        <v>1</v>
      </c>
      <c r="N876" s="196"/>
      <c r="O876" s="196"/>
      <c r="P876" s="196"/>
      <c r="Q876" s="196"/>
      <c r="R876" s="207" t="s">
        <v>1454</v>
      </c>
      <c r="S876" s="210"/>
    </row>
    <row r="877" spans="1:19" ht="20.25" customHeight="1" x14ac:dyDescent="0.25">
      <c r="A877" s="411"/>
      <c r="B877" s="310"/>
      <c r="C877" s="22" t="s">
        <v>32</v>
      </c>
      <c r="D877" s="23">
        <v>100</v>
      </c>
      <c r="E877" s="23">
        <v>100</v>
      </c>
      <c r="F877" s="23">
        <v>91.3</v>
      </c>
      <c r="G877" s="23">
        <v>8.6999999999999993</v>
      </c>
      <c r="H877" s="54">
        <v>8.6999999999999993</v>
      </c>
      <c r="I877" s="262">
        <f t="shared" si="63"/>
        <v>0.91299999999999992</v>
      </c>
      <c r="J877" s="333" t="s">
        <v>1455</v>
      </c>
      <c r="K877" s="334" t="s">
        <v>22</v>
      </c>
      <c r="L877" s="334">
        <v>1</v>
      </c>
      <c r="M877" s="353">
        <v>1</v>
      </c>
      <c r="N877" s="25"/>
      <c r="O877" s="25"/>
      <c r="P877" s="25"/>
      <c r="Q877" s="25"/>
      <c r="R877" s="414" t="s">
        <v>1456</v>
      </c>
      <c r="S877" s="416"/>
    </row>
    <row r="878" spans="1:19" ht="15.75" thickBot="1" x14ac:dyDescent="0.3">
      <c r="A878" s="412"/>
      <c r="B878" s="399"/>
      <c r="C878" s="197" t="s">
        <v>30</v>
      </c>
      <c r="D878" s="198">
        <v>20</v>
      </c>
      <c r="E878" s="198">
        <v>20</v>
      </c>
      <c r="F878" s="198">
        <v>20</v>
      </c>
      <c r="G878" s="198"/>
      <c r="H878" s="198"/>
      <c r="I878" s="272">
        <f t="shared" si="63"/>
        <v>1</v>
      </c>
      <c r="J878" s="384"/>
      <c r="K878" s="386"/>
      <c r="L878" s="386"/>
      <c r="M878" s="413"/>
      <c r="N878" s="199"/>
      <c r="O878" s="199"/>
      <c r="P878" s="199"/>
      <c r="Q878" s="199"/>
      <c r="R878" s="415"/>
      <c r="S878" s="417"/>
    </row>
    <row r="879" spans="1:19" ht="145.5" customHeight="1" x14ac:dyDescent="0.25">
      <c r="A879" s="406" t="s">
        <v>1457</v>
      </c>
      <c r="B879" s="310" t="s">
        <v>1458</v>
      </c>
      <c r="C879" s="167"/>
      <c r="D879" s="184">
        <f>SUM(D880:D880)</f>
        <v>331.6</v>
      </c>
      <c r="E879" s="184">
        <f>SUM(E880:E880)</f>
        <v>331.6</v>
      </c>
      <c r="F879" s="184">
        <f>SUM(F880:F880)</f>
        <v>228.7</v>
      </c>
      <c r="G879" s="184">
        <f>SUM(G880:G880)</f>
        <v>102.9</v>
      </c>
      <c r="H879" s="184">
        <f>SUM(H880:H880)</f>
        <v>102.9</v>
      </c>
      <c r="I879" s="279">
        <f t="shared" si="63"/>
        <v>0.68968636911942094</v>
      </c>
      <c r="J879" s="310" t="s">
        <v>1459</v>
      </c>
      <c r="K879" s="324" t="s">
        <v>29</v>
      </c>
      <c r="L879" s="324">
        <v>40</v>
      </c>
      <c r="M879" s="355">
        <v>37</v>
      </c>
      <c r="N879" s="78"/>
      <c r="O879" s="78"/>
      <c r="P879" s="78"/>
      <c r="Q879" s="78"/>
      <c r="R879" s="310" t="s">
        <v>1920</v>
      </c>
      <c r="S879" s="332" t="s">
        <v>1919</v>
      </c>
    </row>
    <row r="880" spans="1:19" ht="15.75" thickBot="1" x14ac:dyDescent="0.3">
      <c r="A880" s="307"/>
      <c r="B880" s="309"/>
      <c r="C880" s="22" t="s">
        <v>30</v>
      </c>
      <c r="D880" s="23">
        <v>331.6</v>
      </c>
      <c r="E880" s="23">
        <v>331.6</v>
      </c>
      <c r="F880" s="23">
        <v>228.7</v>
      </c>
      <c r="G880" s="23">
        <v>102.9</v>
      </c>
      <c r="H880" s="23">
        <v>102.9</v>
      </c>
      <c r="I880" s="279">
        <f t="shared" si="63"/>
        <v>0.68968636911942094</v>
      </c>
      <c r="J880" s="309"/>
      <c r="K880" s="325"/>
      <c r="L880" s="325"/>
      <c r="M880" s="356"/>
      <c r="N880" s="25"/>
      <c r="O880" s="25"/>
      <c r="P880" s="25"/>
      <c r="Q880" s="25"/>
      <c r="R880" s="309"/>
      <c r="S880" s="327"/>
    </row>
    <row r="881" spans="1:19" ht="39" thickBot="1" x14ac:dyDescent="0.3">
      <c r="A881" s="13" t="s">
        <v>1460</v>
      </c>
      <c r="B881" s="41" t="s">
        <v>1461</v>
      </c>
      <c r="C881" s="14"/>
      <c r="D881" s="15">
        <f>D882+D883+D884+D885+D886+D887+D888+D889+D890+D891+D892+D893+D894+D895+D896+D899+D902+D904+D906+D907+D908</f>
        <v>874.60000000000014</v>
      </c>
      <c r="E881" s="15">
        <f>E882+E883+E884+E885+E886+E887+E888+E889+E890+E891+E892+E893+E894+E895+E896+E899+E902+E904+E906+E907+E908</f>
        <v>874.60000000000014</v>
      </c>
      <c r="F881" s="15">
        <f>F882+F883+F884+F885+F886+F887+F888+F889+F890+F891+F892+F893+F894+F895+F896+F899+F902+F904+F906+F907+F908-0.1</f>
        <v>842.90000000000009</v>
      </c>
      <c r="G881" s="15">
        <f>G882+G883+G884+G885+G886+G887+G888+G889+G890+G891+G892+G893+G894+G895+G896+G899+G902+G904+G906+G907+G908+0.1</f>
        <v>31.700000000000003</v>
      </c>
      <c r="H881" s="15">
        <f>H882+H883+H884+H885+H886+H887+H888+H889+H890+H891+H892+H893+H894+H895+H896+H899+H902+H904+H906+H907+H908+0.1</f>
        <v>31.700000000000003</v>
      </c>
      <c r="I881" s="260">
        <f>SUM(F881/E881)</f>
        <v>0.96375485936428074</v>
      </c>
      <c r="J881" s="329"/>
      <c r="K881" s="330"/>
      <c r="L881" s="330"/>
      <c r="M881" s="330"/>
      <c r="N881" s="330"/>
      <c r="O881" s="330"/>
      <c r="P881" s="330"/>
      <c r="Q881" s="330"/>
      <c r="R881" s="330"/>
      <c r="S881" s="331"/>
    </row>
    <row r="882" spans="1:19" ht="26.25" thickBot="1" x14ac:dyDescent="0.3">
      <c r="A882" s="16" t="s">
        <v>1462</v>
      </c>
      <c r="B882" s="42" t="s">
        <v>1463</v>
      </c>
      <c r="C882" s="17" t="s">
        <v>697</v>
      </c>
      <c r="D882" s="26">
        <v>11.5</v>
      </c>
      <c r="E882" s="26">
        <v>11.5</v>
      </c>
      <c r="F882" s="26">
        <v>11.5</v>
      </c>
      <c r="G882" s="26"/>
      <c r="H882" s="26"/>
      <c r="I882" s="264">
        <f t="shared" ref="I882:I908" si="64">SUM(F882/E882)</f>
        <v>1</v>
      </c>
      <c r="J882" s="48" t="s">
        <v>1408</v>
      </c>
      <c r="K882" s="19" t="s">
        <v>29</v>
      </c>
      <c r="L882" s="19">
        <v>100</v>
      </c>
      <c r="M882" s="111">
        <v>100</v>
      </c>
      <c r="N882" s="20"/>
      <c r="O882" s="20"/>
      <c r="P882" s="20"/>
      <c r="Q882" s="20"/>
      <c r="R882" s="147"/>
      <c r="S882" s="52"/>
    </row>
    <row r="883" spans="1:19" ht="26.25" thickBot="1" x14ac:dyDescent="0.3">
      <c r="A883" s="16" t="s">
        <v>1464</v>
      </c>
      <c r="B883" s="42" t="s">
        <v>1465</v>
      </c>
      <c r="C883" s="17" t="s">
        <v>697</v>
      </c>
      <c r="D883" s="26">
        <v>0.6</v>
      </c>
      <c r="E883" s="26">
        <v>0.6</v>
      </c>
      <c r="F883" s="26">
        <v>0.6</v>
      </c>
      <c r="G883" s="26"/>
      <c r="H883" s="26"/>
      <c r="I883" s="264">
        <f t="shared" si="64"/>
        <v>1</v>
      </c>
      <c r="J883" s="48" t="s">
        <v>1408</v>
      </c>
      <c r="K883" s="19" t="s">
        <v>29</v>
      </c>
      <c r="L883" s="19">
        <v>100</v>
      </c>
      <c r="M883" s="111">
        <v>100</v>
      </c>
      <c r="N883" s="20"/>
      <c r="O883" s="20"/>
      <c r="P883" s="20"/>
      <c r="Q883" s="20"/>
      <c r="R883" s="147"/>
      <c r="S883" s="52"/>
    </row>
    <row r="884" spans="1:19" ht="26.25" thickBot="1" x14ac:dyDescent="0.3">
      <c r="A884" s="16" t="s">
        <v>1466</v>
      </c>
      <c r="B884" s="42" t="s">
        <v>1467</v>
      </c>
      <c r="C884" s="17" t="s">
        <v>697</v>
      </c>
      <c r="D884" s="26">
        <v>34.9</v>
      </c>
      <c r="E884" s="26">
        <v>34.9</v>
      </c>
      <c r="F884" s="26">
        <v>34.9</v>
      </c>
      <c r="G884" s="26"/>
      <c r="H884" s="26"/>
      <c r="I884" s="264">
        <f t="shared" si="64"/>
        <v>1</v>
      </c>
      <c r="J884" s="48" t="s">
        <v>1408</v>
      </c>
      <c r="K884" s="19" t="s">
        <v>29</v>
      </c>
      <c r="L884" s="19">
        <v>100</v>
      </c>
      <c r="M884" s="111">
        <v>100</v>
      </c>
      <c r="N884" s="20"/>
      <c r="O884" s="20"/>
      <c r="P884" s="20"/>
      <c r="Q884" s="20"/>
      <c r="R884" s="147"/>
      <c r="S884" s="52"/>
    </row>
    <row r="885" spans="1:19" ht="26.25" thickBot="1" x14ac:dyDescent="0.3">
      <c r="A885" s="16" t="s">
        <v>1468</v>
      </c>
      <c r="B885" s="42" t="s">
        <v>1469</v>
      </c>
      <c r="C885" s="17" t="s">
        <v>697</v>
      </c>
      <c r="D885" s="26">
        <v>62.3</v>
      </c>
      <c r="E885" s="26">
        <v>62.3</v>
      </c>
      <c r="F885" s="26">
        <v>62.3</v>
      </c>
      <c r="G885" s="26"/>
      <c r="H885" s="26"/>
      <c r="I885" s="264">
        <f t="shared" si="64"/>
        <v>1</v>
      </c>
      <c r="J885" s="48" t="s">
        <v>1408</v>
      </c>
      <c r="K885" s="19" t="s">
        <v>29</v>
      </c>
      <c r="L885" s="19">
        <v>100</v>
      </c>
      <c r="M885" s="111">
        <v>100</v>
      </c>
      <c r="N885" s="20"/>
      <c r="O885" s="20"/>
      <c r="P885" s="20"/>
      <c r="Q885" s="20"/>
      <c r="R885" s="147"/>
      <c r="S885" s="52"/>
    </row>
    <row r="886" spans="1:19" ht="26.25" thickBot="1" x14ac:dyDescent="0.3">
      <c r="A886" s="16" t="s">
        <v>1470</v>
      </c>
      <c r="B886" s="42" t="s">
        <v>1471</v>
      </c>
      <c r="C886" s="17" t="s">
        <v>697</v>
      </c>
      <c r="D886" s="26">
        <v>1.9</v>
      </c>
      <c r="E886" s="26">
        <v>1.9</v>
      </c>
      <c r="F886" s="26">
        <v>1.9</v>
      </c>
      <c r="G886" s="26"/>
      <c r="H886" s="26"/>
      <c r="I886" s="264">
        <f t="shared" si="64"/>
        <v>1</v>
      </c>
      <c r="J886" s="48" t="s">
        <v>1408</v>
      </c>
      <c r="K886" s="19" t="s">
        <v>29</v>
      </c>
      <c r="L886" s="19">
        <v>100</v>
      </c>
      <c r="M886" s="111">
        <v>100</v>
      </c>
      <c r="N886" s="20"/>
      <c r="O886" s="20"/>
      <c r="P886" s="20"/>
      <c r="Q886" s="20"/>
      <c r="R886" s="147"/>
      <c r="S886" s="52"/>
    </row>
    <row r="887" spans="1:19" ht="26.25" thickBot="1" x14ac:dyDescent="0.3">
      <c r="A887" s="16" t="s">
        <v>1472</v>
      </c>
      <c r="B887" s="42" t="s">
        <v>1473</v>
      </c>
      <c r="C887" s="17" t="s">
        <v>697</v>
      </c>
      <c r="D887" s="26">
        <v>17</v>
      </c>
      <c r="E887" s="26">
        <v>17</v>
      </c>
      <c r="F887" s="26">
        <v>17</v>
      </c>
      <c r="G887" s="26"/>
      <c r="H887" s="26"/>
      <c r="I887" s="264">
        <f t="shared" si="64"/>
        <v>1</v>
      </c>
      <c r="J887" s="48" t="s">
        <v>1408</v>
      </c>
      <c r="K887" s="19" t="s">
        <v>29</v>
      </c>
      <c r="L887" s="19">
        <v>100</v>
      </c>
      <c r="M887" s="111">
        <v>100</v>
      </c>
      <c r="N887" s="20"/>
      <c r="O887" s="20"/>
      <c r="P887" s="20"/>
      <c r="Q887" s="20"/>
      <c r="R887" s="147"/>
      <c r="S887" s="52"/>
    </row>
    <row r="888" spans="1:19" ht="26.25" thickBot="1" x14ac:dyDescent="0.3">
      <c r="A888" s="16" t="s">
        <v>1474</v>
      </c>
      <c r="B888" s="42" t="s">
        <v>1475</v>
      </c>
      <c r="C888" s="17" t="s">
        <v>697</v>
      </c>
      <c r="D888" s="26">
        <v>36.5</v>
      </c>
      <c r="E888" s="26">
        <v>36.5</v>
      </c>
      <c r="F888" s="26">
        <v>30.3</v>
      </c>
      <c r="G888" s="26">
        <v>6.2</v>
      </c>
      <c r="H888" s="26">
        <v>6.2</v>
      </c>
      <c r="I888" s="264">
        <f t="shared" si="64"/>
        <v>0.83013698630136989</v>
      </c>
      <c r="J888" s="48" t="s">
        <v>1408</v>
      </c>
      <c r="K888" s="19" t="s">
        <v>29</v>
      </c>
      <c r="L888" s="19">
        <v>100</v>
      </c>
      <c r="M888" s="111">
        <v>100</v>
      </c>
      <c r="N888" s="20"/>
      <c r="O888" s="20"/>
      <c r="P888" s="20"/>
      <c r="Q888" s="20"/>
      <c r="R888" s="147"/>
      <c r="S888" s="120"/>
    </row>
    <row r="889" spans="1:19" ht="26.25" thickBot="1" x14ac:dyDescent="0.3">
      <c r="A889" s="16" t="s">
        <v>1476</v>
      </c>
      <c r="B889" s="42" t="s">
        <v>1477</v>
      </c>
      <c r="C889" s="17" t="s">
        <v>697</v>
      </c>
      <c r="D889" s="26">
        <v>80.599999999999994</v>
      </c>
      <c r="E889" s="26">
        <v>80.599999999999994</v>
      </c>
      <c r="F889" s="26">
        <v>80.599999999999994</v>
      </c>
      <c r="G889" s="26"/>
      <c r="H889" s="26"/>
      <c r="I889" s="264">
        <f t="shared" si="64"/>
        <v>1</v>
      </c>
      <c r="J889" s="48" t="s">
        <v>1408</v>
      </c>
      <c r="K889" s="19" t="s">
        <v>29</v>
      </c>
      <c r="L889" s="19">
        <v>100</v>
      </c>
      <c r="M889" s="111">
        <v>100</v>
      </c>
      <c r="N889" s="20"/>
      <c r="O889" s="20"/>
      <c r="P889" s="20"/>
      <c r="Q889" s="20"/>
      <c r="R889" s="147"/>
      <c r="S889" s="52"/>
    </row>
    <row r="890" spans="1:19" ht="26.25" thickBot="1" x14ac:dyDescent="0.3">
      <c r="A890" s="16" t="s">
        <v>1478</v>
      </c>
      <c r="B890" s="42" t="s">
        <v>1479</v>
      </c>
      <c r="C890" s="17" t="s">
        <v>697</v>
      </c>
      <c r="D890" s="26">
        <v>17</v>
      </c>
      <c r="E890" s="26">
        <v>17</v>
      </c>
      <c r="F890" s="26">
        <v>17</v>
      </c>
      <c r="G890" s="26"/>
      <c r="H890" s="26"/>
      <c r="I890" s="264">
        <f t="shared" si="64"/>
        <v>1</v>
      </c>
      <c r="J890" s="48" t="s">
        <v>1408</v>
      </c>
      <c r="K890" s="19" t="s">
        <v>29</v>
      </c>
      <c r="L890" s="19">
        <v>100</v>
      </c>
      <c r="M890" s="111">
        <v>100</v>
      </c>
      <c r="N890" s="20"/>
      <c r="O890" s="20"/>
      <c r="P890" s="20"/>
      <c r="Q890" s="20"/>
      <c r="R890" s="147"/>
      <c r="S890" s="52"/>
    </row>
    <row r="891" spans="1:19" ht="26.25" thickBot="1" x14ac:dyDescent="0.3">
      <c r="A891" s="16" t="s">
        <v>1480</v>
      </c>
      <c r="B891" s="42" t="s">
        <v>1481</v>
      </c>
      <c r="C891" s="17" t="s">
        <v>697</v>
      </c>
      <c r="D891" s="26">
        <v>124.6</v>
      </c>
      <c r="E891" s="26">
        <v>124.6</v>
      </c>
      <c r="F891" s="26">
        <v>116.7</v>
      </c>
      <c r="G891" s="26">
        <v>7.9</v>
      </c>
      <c r="H891" s="26">
        <v>7.9</v>
      </c>
      <c r="I891" s="264">
        <f t="shared" si="64"/>
        <v>0.93659711075441421</v>
      </c>
      <c r="J891" s="48" t="s">
        <v>1408</v>
      </c>
      <c r="K891" s="19" t="s">
        <v>29</v>
      </c>
      <c r="L891" s="19">
        <v>100</v>
      </c>
      <c r="M891" s="111">
        <v>100</v>
      </c>
      <c r="N891" s="20"/>
      <c r="O891" s="20"/>
      <c r="P891" s="20"/>
      <c r="Q891" s="20"/>
      <c r="R891" s="147"/>
      <c r="S891" s="52"/>
    </row>
    <row r="892" spans="1:19" ht="26.25" thickBot="1" x14ac:dyDescent="0.3">
      <c r="A892" s="16" t="s">
        <v>1482</v>
      </c>
      <c r="B892" s="42" t="s">
        <v>1483</v>
      </c>
      <c r="C892" s="17" t="s">
        <v>697</v>
      </c>
      <c r="D892" s="26">
        <v>8</v>
      </c>
      <c r="E892" s="26">
        <v>8</v>
      </c>
      <c r="F892" s="26">
        <v>8</v>
      </c>
      <c r="G892" s="26"/>
      <c r="H892" s="26"/>
      <c r="I892" s="264">
        <f t="shared" si="64"/>
        <v>1</v>
      </c>
      <c r="J892" s="48" t="s">
        <v>1408</v>
      </c>
      <c r="K892" s="19" t="s">
        <v>29</v>
      </c>
      <c r="L892" s="19">
        <v>100</v>
      </c>
      <c r="M892" s="111">
        <v>100</v>
      </c>
      <c r="N892" s="20"/>
      <c r="O892" s="20"/>
      <c r="P892" s="20"/>
      <c r="Q892" s="20"/>
      <c r="R892" s="147"/>
      <c r="S892" s="52"/>
    </row>
    <row r="893" spans="1:19" ht="26.25" thickBot="1" x14ac:dyDescent="0.3">
      <c r="A893" s="16" t="s">
        <v>1484</v>
      </c>
      <c r="B893" s="42" t="s">
        <v>1485</v>
      </c>
      <c r="C893" s="17" t="s">
        <v>697</v>
      </c>
      <c r="D893" s="26">
        <v>11.9</v>
      </c>
      <c r="E893" s="26">
        <v>11.9</v>
      </c>
      <c r="F893" s="26">
        <v>11.9</v>
      </c>
      <c r="G893" s="26"/>
      <c r="H893" s="26"/>
      <c r="I893" s="264">
        <f t="shared" si="64"/>
        <v>1</v>
      </c>
      <c r="J893" s="48" t="s">
        <v>1408</v>
      </c>
      <c r="K893" s="19" t="s">
        <v>29</v>
      </c>
      <c r="L893" s="19">
        <v>100</v>
      </c>
      <c r="M893" s="111">
        <v>100</v>
      </c>
      <c r="N893" s="20"/>
      <c r="O893" s="20"/>
      <c r="P893" s="20"/>
      <c r="Q893" s="20"/>
      <c r="R893" s="147"/>
      <c r="S893" s="52"/>
    </row>
    <row r="894" spans="1:19" ht="26.25" thickBot="1" x14ac:dyDescent="0.3">
      <c r="A894" s="16" t="s">
        <v>1486</v>
      </c>
      <c r="B894" s="42" t="s">
        <v>1487</v>
      </c>
      <c r="C894" s="17" t="s">
        <v>697</v>
      </c>
      <c r="D894" s="26">
        <v>20.9</v>
      </c>
      <c r="E894" s="26">
        <v>20.9</v>
      </c>
      <c r="F894" s="26">
        <v>16.899999999999999</v>
      </c>
      <c r="G894" s="26">
        <v>4</v>
      </c>
      <c r="H894" s="26">
        <v>4</v>
      </c>
      <c r="I894" s="264">
        <f t="shared" si="64"/>
        <v>0.80861244019138756</v>
      </c>
      <c r="J894" s="48" t="s">
        <v>1408</v>
      </c>
      <c r="K894" s="19" t="s">
        <v>29</v>
      </c>
      <c r="L894" s="19">
        <v>100</v>
      </c>
      <c r="M894" s="111">
        <v>100</v>
      </c>
      <c r="N894" s="20"/>
      <c r="O894" s="20"/>
      <c r="P894" s="20"/>
      <c r="Q894" s="20"/>
      <c r="R894" s="147"/>
      <c r="S894" s="52"/>
    </row>
    <row r="895" spans="1:19" ht="26.25" thickBot="1" x14ac:dyDescent="0.3">
      <c r="A895" s="16" t="s">
        <v>1488</v>
      </c>
      <c r="B895" s="42" t="s">
        <v>1489</v>
      </c>
      <c r="C895" s="17" t="s">
        <v>697</v>
      </c>
      <c r="D895" s="26">
        <v>63.5</v>
      </c>
      <c r="E895" s="26">
        <v>63.5</v>
      </c>
      <c r="F895" s="26">
        <v>62.8</v>
      </c>
      <c r="G895" s="26">
        <v>0.7</v>
      </c>
      <c r="H895" s="26">
        <v>0.7</v>
      </c>
      <c r="I895" s="264">
        <f t="shared" si="64"/>
        <v>0.98897637795275584</v>
      </c>
      <c r="J895" s="48" t="s">
        <v>1408</v>
      </c>
      <c r="K895" s="19" t="s">
        <v>29</v>
      </c>
      <c r="L895" s="19">
        <v>100</v>
      </c>
      <c r="M895" s="111">
        <v>100</v>
      </c>
      <c r="N895" s="20"/>
      <c r="O895" s="20"/>
      <c r="P895" s="20"/>
      <c r="Q895" s="20"/>
      <c r="R895" s="147"/>
      <c r="S895" s="52"/>
    </row>
    <row r="896" spans="1:19" ht="16.5" customHeight="1" x14ac:dyDescent="0.25">
      <c r="A896" s="306" t="s">
        <v>1490</v>
      </c>
      <c r="B896" s="308" t="s">
        <v>1491</v>
      </c>
      <c r="C896" s="17"/>
      <c r="D896" s="18">
        <f>SUM(D897:D898)</f>
        <v>145.1</v>
      </c>
      <c r="E896" s="18">
        <f>SUM(E897:E898)</f>
        <v>145.1</v>
      </c>
      <c r="F896" s="18">
        <f>SUM(F897:F898)</f>
        <v>133</v>
      </c>
      <c r="G896" s="18">
        <f>SUM(G897:G898)</f>
        <v>12.1</v>
      </c>
      <c r="H896" s="18">
        <f>SUM(H897:H898)</f>
        <v>12.1</v>
      </c>
      <c r="I896" s="261">
        <f t="shared" si="64"/>
        <v>0.91660923501033775</v>
      </c>
      <c r="J896" s="314" t="s">
        <v>1408</v>
      </c>
      <c r="K896" s="323" t="s">
        <v>29</v>
      </c>
      <c r="L896" s="323">
        <v>100</v>
      </c>
      <c r="M896" s="347">
        <v>100</v>
      </c>
      <c r="N896" s="20"/>
      <c r="O896" s="20"/>
      <c r="P896" s="20"/>
      <c r="Q896" s="20"/>
      <c r="R896" s="320"/>
      <c r="S896" s="303"/>
    </row>
    <row r="897" spans="1:19" x14ac:dyDescent="0.25">
      <c r="A897" s="406"/>
      <c r="B897" s="310"/>
      <c r="C897" s="22" t="s">
        <v>55</v>
      </c>
      <c r="D897" s="23">
        <v>7.5</v>
      </c>
      <c r="E897" s="23">
        <v>7.5</v>
      </c>
      <c r="F897" s="23">
        <v>0.4</v>
      </c>
      <c r="G897" s="23">
        <v>7.1</v>
      </c>
      <c r="H897" s="54">
        <v>7.1</v>
      </c>
      <c r="I897" s="262">
        <f t="shared" si="64"/>
        <v>5.3333333333333337E-2</v>
      </c>
      <c r="J897" s="315"/>
      <c r="K897" s="324"/>
      <c r="L897" s="324"/>
      <c r="M897" s="348"/>
      <c r="N897" s="25"/>
      <c r="O897" s="25"/>
      <c r="P897" s="25"/>
      <c r="Q897" s="25"/>
      <c r="R897" s="321"/>
      <c r="S897" s="304"/>
    </row>
    <row r="898" spans="1:19" ht="15.75" thickBot="1" x14ac:dyDescent="0.3">
      <c r="A898" s="307"/>
      <c r="B898" s="309"/>
      <c r="C898" s="22" t="s">
        <v>697</v>
      </c>
      <c r="D898" s="23">
        <v>137.6</v>
      </c>
      <c r="E898" s="23">
        <v>137.6</v>
      </c>
      <c r="F898" s="23">
        <v>132.6</v>
      </c>
      <c r="G898" s="23">
        <v>5</v>
      </c>
      <c r="H898" s="23">
        <v>5</v>
      </c>
      <c r="I898" s="279">
        <f t="shared" si="64"/>
        <v>0.96366279069767447</v>
      </c>
      <c r="J898" s="316"/>
      <c r="K898" s="325"/>
      <c r="L898" s="325"/>
      <c r="M898" s="349"/>
      <c r="N898" s="25"/>
      <c r="O898" s="25"/>
      <c r="P898" s="25"/>
      <c r="Q898" s="25"/>
      <c r="R898" s="322"/>
      <c r="S898" s="305"/>
    </row>
    <row r="899" spans="1:19" ht="27" customHeight="1" x14ac:dyDescent="0.25">
      <c r="A899" s="306" t="s">
        <v>1492</v>
      </c>
      <c r="B899" s="308" t="s">
        <v>1493</v>
      </c>
      <c r="C899" s="17"/>
      <c r="D899" s="18">
        <f>SUM(D900:D901)</f>
        <v>2.6</v>
      </c>
      <c r="E899" s="18">
        <f>SUM(E900:E901)</f>
        <v>2.6</v>
      </c>
      <c r="F899" s="18">
        <f>SUM(F900:F901)</f>
        <v>2</v>
      </c>
      <c r="G899" s="18">
        <f>SUM(G900:G901)</f>
        <v>0.6</v>
      </c>
      <c r="H899" s="18">
        <f>SUM(H900:H901)</f>
        <v>0.6</v>
      </c>
      <c r="I899" s="261">
        <f t="shared" si="64"/>
        <v>0.76923076923076916</v>
      </c>
      <c r="J899" s="314" t="s">
        <v>1408</v>
      </c>
      <c r="K899" s="323" t="s">
        <v>29</v>
      </c>
      <c r="L899" s="323">
        <v>100</v>
      </c>
      <c r="M899" s="347">
        <v>100</v>
      </c>
      <c r="N899" s="20"/>
      <c r="O899" s="20"/>
      <c r="P899" s="20"/>
      <c r="Q899" s="20"/>
      <c r="R899" s="320"/>
      <c r="S899" s="303"/>
    </row>
    <row r="900" spans="1:19" x14ac:dyDescent="0.25">
      <c r="A900" s="406"/>
      <c r="B900" s="310"/>
      <c r="C900" s="22" t="s">
        <v>55</v>
      </c>
      <c r="D900" s="23">
        <v>0.8</v>
      </c>
      <c r="E900" s="23">
        <v>0.8</v>
      </c>
      <c r="F900" s="23">
        <v>0.8</v>
      </c>
      <c r="G900" s="23"/>
      <c r="H900" s="54"/>
      <c r="I900" s="262">
        <f t="shared" si="64"/>
        <v>1</v>
      </c>
      <c r="J900" s="315"/>
      <c r="K900" s="324"/>
      <c r="L900" s="324"/>
      <c r="M900" s="348"/>
      <c r="N900" s="25"/>
      <c r="O900" s="25"/>
      <c r="P900" s="25"/>
      <c r="Q900" s="25"/>
      <c r="R900" s="321"/>
      <c r="S900" s="304"/>
    </row>
    <row r="901" spans="1:19" ht="15.75" thickBot="1" x14ac:dyDescent="0.3">
      <c r="A901" s="307"/>
      <c r="B901" s="309"/>
      <c r="C901" s="22" t="s">
        <v>697</v>
      </c>
      <c r="D901" s="23">
        <v>1.8</v>
      </c>
      <c r="E901" s="23">
        <v>1.8</v>
      </c>
      <c r="F901" s="23">
        <v>1.2</v>
      </c>
      <c r="G901" s="23">
        <v>0.6</v>
      </c>
      <c r="H901" s="23">
        <v>0.6</v>
      </c>
      <c r="I901" s="279">
        <f t="shared" si="64"/>
        <v>0.66666666666666663</v>
      </c>
      <c r="J901" s="316"/>
      <c r="K901" s="325"/>
      <c r="L901" s="325"/>
      <c r="M901" s="349"/>
      <c r="N901" s="25"/>
      <c r="O901" s="25"/>
      <c r="P901" s="25"/>
      <c r="Q901" s="25"/>
      <c r="R901" s="322"/>
      <c r="S901" s="305"/>
    </row>
    <row r="902" spans="1:19" ht="38.25" customHeight="1" x14ac:dyDescent="0.25">
      <c r="A902" s="306" t="s">
        <v>1494</v>
      </c>
      <c r="B902" s="308" t="s">
        <v>1495</v>
      </c>
      <c r="C902" s="17" t="s">
        <v>697</v>
      </c>
      <c r="D902" s="18">
        <f>SUM(D903:D903)+8.5</f>
        <v>8.5</v>
      </c>
      <c r="E902" s="18">
        <f>SUM(E903:E903)+8.5</f>
        <v>8.5</v>
      </c>
      <c r="F902" s="18">
        <f>SUM(F903:F903)+8.5</f>
        <v>8.5</v>
      </c>
      <c r="G902" s="18"/>
      <c r="H902" s="18"/>
      <c r="I902" s="264">
        <f t="shared" si="64"/>
        <v>1</v>
      </c>
      <c r="J902" s="48" t="s">
        <v>1496</v>
      </c>
      <c r="K902" s="19" t="s">
        <v>22</v>
      </c>
      <c r="L902" s="19">
        <v>2</v>
      </c>
      <c r="M902" s="106">
        <v>0</v>
      </c>
      <c r="N902" s="20"/>
      <c r="O902" s="20"/>
      <c r="P902" s="20"/>
      <c r="Q902" s="20"/>
      <c r="R902" s="147"/>
      <c r="S902" s="52" t="s">
        <v>1676</v>
      </c>
    </row>
    <row r="903" spans="1:19" ht="39" thickBot="1" x14ac:dyDescent="0.3">
      <c r="A903" s="307"/>
      <c r="B903" s="309"/>
      <c r="C903" s="22"/>
      <c r="D903" s="23"/>
      <c r="E903" s="23"/>
      <c r="F903" s="23"/>
      <c r="G903" s="23"/>
      <c r="H903" s="23"/>
      <c r="I903" s="279"/>
      <c r="J903" s="49" t="s">
        <v>1497</v>
      </c>
      <c r="K903" s="24" t="s">
        <v>22</v>
      </c>
      <c r="L903" s="24">
        <v>250</v>
      </c>
      <c r="M903" s="110">
        <v>274</v>
      </c>
      <c r="N903" s="25"/>
      <c r="O903" s="25"/>
      <c r="P903" s="25"/>
      <c r="Q903" s="25"/>
      <c r="R903" s="49" t="s">
        <v>1498</v>
      </c>
      <c r="S903" s="53"/>
    </row>
    <row r="904" spans="1:19" ht="30" customHeight="1" x14ac:dyDescent="0.25">
      <c r="A904" s="306" t="s">
        <v>1499</v>
      </c>
      <c r="B904" s="308" t="s">
        <v>1500</v>
      </c>
      <c r="C904" s="17"/>
      <c r="D904" s="18">
        <f>SUM(D905:D905)</f>
        <v>32.6</v>
      </c>
      <c r="E904" s="18">
        <f>SUM(E905:E905)</f>
        <v>32.6</v>
      </c>
      <c r="F904" s="18">
        <f>SUM(F905:F905)</f>
        <v>32.6</v>
      </c>
      <c r="G904" s="18"/>
      <c r="H904" s="18"/>
      <c r="I904" s="264">
        <f t="shared" si="64"/>
        <v>1</v>
      </c>
      <c r="J904" s="48" t="s">
        <v>1408</v>
      </c>
      <c r="K904" s="19" t="s">
        <v>29</v>
      </c>
      <c r="L904" s="19">
        <v>100</v>
      </c>
      <c r="M904" s="111">
        <v>100</v>
      </c>
      <c r="N904" s="20"/>
      <c r="O904" s="20"/>
      <c r="P904" s="20"/>
      <c r="Q904" s="20"/>
      <c r="R904" s="311"/>
      <c r="S904" s="303"/>
    </row>
    <row r="905" spans="1:19" ht="15.75" thickBot="1" x14ac:dyDescent="0.3">
      <c r="A905" s="307"/>
      <c r="B905" s="309"/>
      <c r="C905" s="22" t="s">
        <v>697</v>
      </c>
      <c r="D905" s="23">
        <v>32.6</v>
      </c>
      <c r="E905" s="23">
        <v>32.6</v>
      </c>
      <c r="F905" s="23">
        <v>32.6</v>
      </c>
      <c r="G905" s="23"/>
      <c r="H905" s="23"/>
      <c r="I905" s="279">
        <f t="shared" si="64"/>
        <v>1</v>
      </c>
      <c r="J905" s="49" t="s">
        <v>1501</v>
      </c>
      <c r="K905" s="24" t="s">
        <v>22</v>
      </c>
      <c r="L905" s="24">
        <v>1</v>
      </c>
      <c r="M905" s="104">
        <v>1</v>
      </c>
      <c r="N905" s="25"/>
      <c r="O905" s="25"/>
      <c r="P905" s="25"/>
      <c r="Q905" s="25"/>
      <c r="R905" s="313"/>
      <c r="S905" s="305"/>
    </row>
    <row r="906" spans="1:19" ht="26.25" thickBot="1" x14ac:dyDescent="0.3">
      <c r="A906" s="16" t="s">
        <v>1502</v>
      </c>
      <c r="B906" s="42" t="s">
        <v>1503</v>
      </c>
      <c r="C906" s="17" t="s">
        <v>697</v>
      </c>
      <c r="D906" s="26">
        <v>39.700000000000003</v>
      </c>
      <c r="E906" s="26">
        <v>39.700000000000003</v>
      </c>
      <c r="F906" s="26">
        <v>39.700000000000003</v>
      </c>
      <c r="G906" s="26"/>
      <c r="H906" s="26"/>
      <c r="I906" s="264">
        <f t="shared" si="64"/>
        <v>1</v>
      </c>
      <c r="J906" s="48" t="s">
        <v>1504</v>
      </c>
      <c r="K906" s="19" t="s">
        <v>29</v>
      </c>
      <c r="L906" s="19">
        <v>100</v>
      </c>
      <c r="M906" s="111">
        <v>100</v>
      </c>
      <c r="N906" s="20"/>
      <c r="O906" s="20"/>
      <c r="P906" s="20"/>
      <c r="Q906" s="20"/>
      <c r="R906" s="147"/>
      <c r="S906" s="52"/>
    </row>
    <row r="907" spans="1:19" ht="39" thickBot="1" x14ac:dyDescent="0.3">
      <c r="A907" s="16" t="s">
        <v>1505</v>
      </c>
      <c r="B907" s="42" t="s">
        <v>1506</v>
      </c>
      <c r="C907" s="17" t="s">
        <v>697</v>
      </c>
      <c r="D907" s="26">
        <v>131.69999999999999</v>
      </c>
      <c r="E907" s="26">
        <v>131.69999999999999</v>
      </c>
      <c r="F907" s="26">
        <v>131.69999999999999</v>
      </c>
      <c r="G907" s="26"/>
      <c r="H907" s="26"/>
      <c r="I907" s="264">
        <f t="shared" si="64"/>
        <v>1</v>
      </c>
      <c r="J907" s="48" t="s">
        <v>1408</v>
      </c>
      <c r="K907" s="19" t="s">
        <v>29</v>
      </c>
      <c r="L907" s="19">
        <v>100</v>
      </c>
      <c r="M907" s="111">
        <v>100</v>
      </c>
      <c r="N907" s="20"/>
      <c r="O907" s="20"/>
      <c r="P907" s="20"/>
      <c r="Q907" s="20"/>
      <c r="R907" s="147"/>
      <c r="S907" s="52"/>
    </row>
    <row r="908" spans="1:19" ht="39" thickBot="1" x14ac:dyDescent="0.3">
      <c r="A908" s="16" t="s">
        <v>1507</v>
      </c>
      <c r="B908" s="42" t="s">
        <v>1508</v>
      </c>
      <c r="C908" s="17" t="s">
        <v>55</v>
      </c>
      <c r="D908" s="26">
        <v>23.2</v>
      </c>
      <c r="E908" s="26">
        <v>23.2</v>
      </c>
      <c r="F908" s="26">
        <v>23.1</v>
      </c>
      <c r="G908" s="26">
        <v>0.1</v>
      </c>
      <c r="H908" s="26">
        <v>0.1</v>
      </c>
      <c r="I908" s="264">
        <f t="shared" si="64"/>
        <v>0.99568965517241392</v>
      </c>
      <c r="J908" s="48" t="s">
        <v>1408</v>
      </c>
      <c r="K908" s="19" t="s">
        <v>29</v>
      </c>
      <c r="L908" s="19">
        <v>100</v>
      </c>
      <c r="M908" s="111">
        <v>100</v>
      </c>
      <c r="N908" s="20"/>
      <c r="O908" s="20"/>
      <c r="P908" s="20"/>
      <c r="Q908" s="20"/>
      <c r="R908" s="147"/>
      <c r="S908" s="52"/>
    </row>
    <row r="909" spans="1:19" ht="51.75" thickBot="1" x14ac:dyDescent="0.3">
      <c r="A909" s="180" t="s">
        <v>1509</v>
      </c>
      <c r="B909" s="181" t="s">
        <v>1510</v>
      </c>
      <c r="C909" s="182"/>
      <c r="D909" s="183">
        <f>D910+D911+D916</f>
        <v>82.1</v>
      </c>
      <c r="E909" s="183">
        <f>E910+E911+E916</f>
        <v>82.1</v>
      </c>
      <c r="F909" s="183">
        <f>F910+F911+F916</f>
        <v>79.599999999999994</v>
      </c>
      <c r="G909" s="183">
        <f>G910+G911+G916</f>
        <v>2.5</v>
      </c>
      <c r="H909" s="183">
        <f>H910+H911+H916</f>
        <v>2.5</v>
      </c>
      <c r="I909" s="285">
        <f>SUM(F909/E909)</f>
        <v>0.9695493300852619</v>
      </c>
      <c r="J909" s="407"/>
      <c r="K909" s="408"/>
      <c r="L909" s="408"/>
      <c r="M909" s="408"/>
      <c r="N909" s="408"/>
      <c r="O909" s="408"/>
      <c r="P909" s="408"/>
      <c r="Q909" s="408"/>
      <c r="R909" s="408"/>
      <c r="S909" s="409"/>
    </row>
    <row r="910" spans="1:19" ht="55.5" customHeight="1" thickBot="1" x14ac:dyDescent="0.3">
      <c r="A910" s="185" t="s">
        <v>1511</v>
      </c>
      <c r="B910" s="174" t="s">
        <v>1512</v>
      </c>
      <c r="C910" s="172"/>
      <c r="D910" s="173"/>
      <c r="E910" s="173"/>
      <c r="F910" s="173"/>
      <c r="G910" s="173"/>
      <c r="H910" s="173"/>
      <c r="I910" s="286"/>
      <c r="J910" s="174" t="s">
        <v>1513</v>
      </c>
      <c r="K910" s="175" t="s">
        <v>22</v>
      </c>
      <c r="L910" s="175">
        <v>8</v>
      </c>
      <c r="M910" s="186">
        <v>6</v>
      </c>
      <c r="N910" s="187"/>
      <c r="O910" s="187"/>
      <c r="P910" s="187"/>
      <c r="Q910" s="187"/>
      <c r="R910" s="174" t="s">
        <v>1921</v>
      </c>
      <c r="S910" s="177" t="s">
        <v>1922</v>
      </c>
    </row>
    <row r="911" spans="1:19" ht="39" customHeight="1" x14ac:dyDescent="0.25">
      <c r="A911" s="406" t="s">
        <v>1514</v>
      </c>
      <c r="B911" s="310" t="s">
        <v>1515</v>
      </c>
      <c r="C911" s="167"/>
      <c r="D911" s="184">
        <f>D912+D913+D915</f>
        <v>82.1</v>
      </c>
      <c r="E911" s="184">
        <f>E912+E913+E915</f>
        <v>82.1</v>
      </c>
      <c r="F911" s="184">
        <f>F912+F913+F915</f>
        <v>79.599999999999994</v>
      </c>
      <c r="G911" s="184">
        <f>G912+G913+G915</f>
        <v>2.5</v>
      </c>
      <c r="H911" s="184">
        <f>H912+H913+H915</f>
        <v>2.5</v>
      </c>
      <c r="I911" s="279">
        <f t="shared" ref="I911:I915" si="65">SUM(F911/E911)</f>
        <v>0.9695493300852619</v>
      </c>
      <c r="J911" s="76" t="s">
        <v>277</v>
      </c>
      <c r="K911" s="77" t="s">
        <v>22</v>
      </c>
      <c r="L911" s="77">
        <v>1</v>
      </c>
      <c r="M911" s="169">
        <v>1</v>
      </c>
      <c r="N911" s="78"/>
      <c r="O911" s="78"/>
      <c r="P911" s="78"/>
      <c r="Q911" s="78"/>
      <c r="R911" s="481"/>
      <c r="S911" s="483"/>
    </row>
    <row r="912" spans="1:19" ht="53.25" customHeight="1" thickBot="1" x14ac:dyDescent="0.3">
      <c r="A912" s="307"/>
      <c r="B912" s="309"/>
      <c r="C912" s="22"/>
      <c r="D912" s="23"/>
      <c r="E912" s="23"/>
      <c r="F912" s="23"/>
      <c r="G912" s="23"/>
      <c r="H912" s="23"/>
      <c r="I912" s="279"/>
      <c r="J912" s="49" t="s">
        <v>1517</v>
      </c>
      <c r="K912" s="24" t="s">
        <v>22</v>
      </c>
      <c r="L912" s="24">
        <v>1</v>
      </c>
      <c r="M912" s="104">
        <v>1</v>
      </c>
      <c r="N912" s="25"/>
      <c r="O912" s="25"/>
      <c r="P912" s="25"/>
      <c r="Q912" s="25"/>
      <c r="R912" s="482"/>
      <c r="S912" s="296"/>
    </row>
    <row r="913" spans="1:19" ht="29.25" customHeight="1" x14ac:dyDescent="0.25">
      <c r="A913" s="306" t="s">
        <v>1518</v>
      </c>
      <c r="B913" s="308" t="s">
        <v>1519</v>
      </c>
      <c r="C913" s="17"/>
      <c r="D913" s="18">
        <f>SUM(D914:D914)</f>
        <v>32.1</v>
      </c>
      <c r="E913" s="18">
        <f>SUM(E914:E914)</f>
        <v>32.1</v>
      </c>
      <c r="F913" s="18">
        <f>SUM(F914:F914)</f>
        <v>32.1</v>
      </c>
      <c r="G913" s="18"/>
      <c r="H913" s="18"/>
      <c r="I913" s="264">
        <f t="shared" si="65"/>
        <v>1</v>
      </c>
      <c r="J913" s="308" t="s">
        <v>277</v>
      </c>
      <c r="K913" s="323" t="s">
        <v>22</v>
      </c>
      <c r="L913" s="323">
        <v>1</v>
      </c>
      <c r="M913" s="347">
        <v>1</v>
      </c>
      <c r="N913" s="20"/>
      <c r="O913" s="20"/>
      <c r="P913" s="20"/>
      <c r="Q913" s="20"/>
      <c r="R913" s="308" t="s">
        <v>1516</v>
      </c>
      <c r="S913" s="303"/>
    </row>
    <row r="914" spans="1:19" ht="26.25" customHeight="1" thickBot="1" x14ac:dyDescent="0.3">
      <c r="A914" s="307"/>
      <c r="B914" s="309"/>
      <c r="C914" s="22" t="s">
        <v>30</v>
      </c>
      <c r="D914" s="23">
        <v>32.1</v>
      </c>
      <c r="E914" s="23">
        <v>32.1</v>
      </c>
      <c r="F914" s="23">
        <v>32.1</v>
      </c>
      <c r="G914" s="23"/>
      <c r="H914" s="23"/>
      <c r="I914" s="279">
        <f t="shared" si="65"/>
        <v>1</v>
      </c>
      <c r="J914" s="309"/>
      <c r="K914" s="325"/>
      <c r="L914" s="325"/>
      <c r="M914" s="349"/>
      <c r="N914" s="25"/>
      <c r="O914" s="25"/>
      <c r="P914" s="25"/>
      <c r="Q914" s="25"/>
      <c r="R914" s="309"/>
      <c r="S914" s="305"/>
    </row>
    <row r="915" spans="1:19" ht="55.5" customHeight="1" x14ac:dyDescent="0.25">
      <c r="A915" s="68" t="s">
        <v>1520</v>
      </c>
      <c r="B915" s="48" t="s">
        <v>1521</v>
      </c>
      <c r="C915" s="17" t="s">
        <v>55</v>
      </c>
      <c r="D915" s="26">
        <v>50</v>
      </c>
      <c r="E915" s="26">
        <v>50</v>
      </c>
      <c r="F915" s="26">
        <v>47.5</v>
      </c>
      <c r="G915" s="26">
        <v>2.5</v>
      </c>
      <c r="H915" s="26">
        <v>2.5</v>
      </c>
      <c r="I915" s="264">
        <f t="shared" si="65"/>
        <v>0.95</v>
      </c>
      <c r="J915" s="48" t="s">
        <v>1517</v>
      </c>
      <c r="K915" s="19" t="s">
        <v>22</v>
      </c>
      <c r="L915" s="19">
        <v>1</v>
      </c>
      <c r="M915" s="111">
        <v>1</v>
      </c>
      <c r="N915" s="20"/>
      <c r="O915" s="20"/>
      <c r="P915" s="20"/>
      <c r="Q915" s="20"/>
      <c r="R915" s="48" t="s">
        <v>1522</v>
      </c>
      <c r="S915" s="120"/>
    </row>
    <row r="916" spans="1:19" ht="42" hidden="1" customHeight="1" thickBot="1" x14ac:dyDescent="0.3">
      <c r="A916" s="306" t="s">
        <v>1523</v>
      </c>
      <c r="B916" s="308" t="s">
        <v>1524</v>
      </c>
      <c r="C916" s="17"/>
      <c r="D916" s="18"/>
      <c r="E916" s="18"/>
      <c r="F916" s="18"/>
      <c r="G916" s="18"/>
      <c r="H916" s="18"/>
      <c r="I916" s="264"/>
      <c r="J916" s="48" t="s">
        <v>1525</v>
      </c>
      <c r="K916" s="19" t="s">
        <v>57</v>
      </c>
      <c r="L916" s="19">
        <v>0</v>
      </c>
      <c r="M916" s="19">
        <v>0</v>
      </c>
      <c r="N916" s="20" t="s">
        <v>23</v>
      </c>
      <c r="O916" s="20" t="s">
        <v>23</v>
      </c>
      <c r="P916" s="20" t="s">
        <v>23</v>
      </c>
      <c r="Q916" s="20" t="s">
        <v>23</v>
      </c>
      <c r="R916" s="48" t="s">
        <v>1526</v>
      </c>
      <c r="S916" s="52"/>
    </row>
    <row r="917" spans="1:19" ht="0.75" customHeight="1" thickBot="1" x14ac:dyDescent="0.3">
      <c r="A917" s="307"/>
      <c r="B917" s="309"/>
      <c r="C917" s="22"/>
      <c r="D917" s="23"/>
      <c r="E917" s="23"/>
      <c r="F917" s="23"/>
      <c r="G917" s="23"/>
      <c r="H917" s="23"/>
      <c r="I917" s="269"/>
      <c r="J917" s="49" t="s">
        <v>1527</v>
      </c>
      <c r="K917" s="24" t="s">
        <v>22</v>
      </c>
      <c r="L917" s="24">
        <v>0</v>
      </c>
      <c r="M917" s="24">
        <v>0</v>
      </c>
      <c r="N917" s="25" t="s">
        <v>23</v>
      </c>
      <c r="O917" s="25" t="s">
        <v>23</v>
      </c>
      <c r="P917" s="25" t="s">
        <v>23</v>
      </c>
      <c r="Q917" s="25" t="s">
        <v>23</v>
      </c>
      <c r="R917" s="49"/>
      <c r="S917" s="53"/>
    </row>
    <row r="918" spans="1:19" ht="26.25" thickBot="1" x14ac:dyDescent="0.3">
      <c r="A918" s="13" t="s">
        <v>1528</v>
      </c>
      <c r="B918" s="41" t="s">
        <v>1529</v>
      </c>
      <c r="C918" s="14"/>
      <c r="D918" s="15">
        <f>D919+D922+D924+D931</f>
        <v>12377.8</v>
      </c>
      <c r="E918" s="15">
        <f>E919+E922+E924+E931</f>
        <v>12377.8</v>
      </c>
      <c r="F918" s="15">
        <f>F919+F922+F924+F931+0.1</f>
        <v>10697.1</v>
      </c>
      <c r="G918" s="15">
        <f>G919+G922+G924+G931-0.1</f>
        <v>1680.7</v>
      </c>
      <c r="H918" s="15">
        <f>H919+H922+H924+H931-0.1</f>
        <v>1680.7</v>
      </c>
      <c r="I918" s="260">
        <f>SUM(F918/E918)</f>
        <v>0.86421658129877688</v>
      </c>
      <c r="J918" s="329"/>
      <c r="K918" s="330"/>
      <c r="L918" s="330"/>
      <c r="M918" s="330"/>
      <c r="N918" s="330"/>
      <c r="O918" s="330"/>
      <c r="P918" s="330"/>
      <c r="Q918" s="330"/>
      <c r="R918" s="330"/>
      <c r="S918" s="331"/>
    </row>
    <row r="919" spans="1:19" ht="26.25" customHeight="1" x14ac:dyDescent="0.25">
      <c r="A919" s="306" t="s">
        <v>1530</v>
      </c>
      <c r="B919" s="308" t="s">
        <v>1531</v>
      </c>
      <c r="C919" s="17"/>
      <c r="D919" s="18">
        <f>SUM(D920:D921)</f>
        <v>7882.9</v>
      </c>
      <c r="E919" s="18">
        <f>SUM(E920:E921)</f>
        <v>7882.9</v>
      </c>
      <c r="F919" s="18">
        <f>SUM(F920:F921)</f>
        <v>6886.5</v>
      </c>
      <c r="G919" s="18">
        <f>SUM(G920:G921)</f>
        <v>996.4</v>
      </c>
      <c r="H919" s="18">
        <f>SUM(H920:H921)</f>
        <v>996.4</v>
      </c>
      <c r="I919" s="261">
        <f t="shared" ref="I919:I934" si="66">SUM(F919/E919)</f>
        <v>0.87359981732611103</v>
      </c>
      <c r="J919" s="314" t="s">
        <v>1532</v>
      </c>
      <c r="K919" s="323" t="s">
        <v>29</v>
      </c>
      <c r="L919" s="323">
        <v>100</v>
      </c>
      <c r="M919" s="347">
        <v>100</v>
      </c>
      <c r="N919" s="20"/>
      <c r="O919" s="20"/>
      <c r="P919" s="20"/>
      <c r="Q919" s="20"/>
      <c r="R919" s="320"/>
      <c r="S919" s="303"/>
    </row>
    <row r="920" spans="1:19" x14ac:dyDescent="0.25">
      <c r="A920" s="406"/>
      <c r="B920" s="310"/>
      <c r="C920" s="22" t="s">
        <v>30</v>
      </c>
      <c r="D920" s="23">
        <v>189.5</v>
      </c>
      <c r="E920" s="23">
        <v>189.5</v>
      </c>
      <c r="F920" s="23">
        <v>184.5</v>
      </c>
      <c r="G920" s="23">
        <v>5</v>
      </c>
      <c r="H920" s="54">
        <v>5</v>
      </c>
      <c r="I920" s="262">
        <f t="shared" si="66"/>
        <v>0.97361477572559363</v>
      </c>
      <c r="J920" s="315"/>
      <c r="K920" s="324"/>
      <c r="L920" s="324"/>
      <c r="M920" s="348"/>
      <c r="N920" s="25"/>
      <c r="O920" s="25"/>
      <c r="P920" s="25"/>
      <c r="Q920" s="25"/>
      <c r="R920" s="321"/>
      <c r="S920" s="304"/>
    </row>
    <row r="921" spans="1:19" ht="15.75" thickBot="1" x14ac:dyDescent="0.3">
      <c r="A921" s="307"/>
      <c r="B921" s="309"/>
      <c r="C921" s="22" t="s">
        <v>32</v>
      </c>
      <c r="D921" s="23">
        <v>7693.4</v>
      </c>
      <c r="E921" s="23">
        <v>7693.4</v>
      </c>
      <c r="F921" s="23">
        <v>6702</v>
      </c>
      <c r="G921" s="23">
        <v>991.4</v>
      </c>
      <c r="H921" s="23">
        <v>991.4</v>
      </c>
      <c r="I921" s="279">
        <f t="shared" si="66"/>
        <v>0.87113629864559239</v>
      </c>
      <c r="J921" s="316"/>
      <c r="K921" s="325"/>
      <c r="L921" s="325"/>
      <c r="M921" s="349"/>
      <c r="N921" s="25"/>
      <c r="O921" s="25"/>
      <c r="P921" s="25"/>
      <c r="Q921" s="25"/>
      <c r="R921" s="322"/>
      <c r="S921" s="305"/>
    </row>
    <row r="922" spans="1:19" ht="29.25" customHeight="1" x14ac:dyDescent="0.25">
      <c r="A922" s="306" t="s">
        <v>1533</v>
      </c>
      <c r="B922" s="308" t="s">
        <v>1534</v>
      </c>
      <c r="C922" s="17"/>
      <c r="D922" s="18">
        <f>SUM(D923:D923)</f>
        <v>4149.8999999999996</v>
      </c>
      <c r="E922" s="18">
        <f>SUM(E923:E923)</f>
        <v>4149.8999999999996</v>
      </c>
      <c r="F922" s="18">
        <f>SUM(F923:F923)</f>
        <v>3551.1</v>
      </c>
      <c r="G922" s="18">
        <f>SUM(G923:G923)</f>
        <v>598.79999999999995</v>
      </c>
      <c r="H922" s="18">
        <f>SUM(H923:H923)</f>
        <v>598.79999999999995</v>
      </c>
      <c r="I922" s="264">
        <f t="shared" si="66"/>
        <v>0.85570736644256495</v>
      </c>
      <c r="J922" s="308" t="s">
        <v>1535</v>
      </c>
      <c r="K922" s="323" t="s">
        <v>29</v>
      </c>
      <c r="L922" s="323">
        <v>100</v>
      </c>
      <c r="M922" s="347">
        <v>100</v>
      </c>
      <c r="N922" s="20"/>
      <c r="O922" s="20"/>
      <c r="P922" s="20"/>
      <c r="Q922" s="20"/>
      <c r="R922" s="320"/>
      <c r="S922" s="317"/>
    </row>
    <row r="923" spans="1:19" ht="15.75" thickBot="1" x14ac:dyDescent="0.3">
      <c r="A923" s="307"/>
      <c r="B923" s="309"/>
      <c r="C923" s="22" t="s">
        <v>30</v>
      </c>
      <c r="D923" s="23">
        <v>4149.8999999999996</v>
      </c>
      <c r="E923" s="23">
        <v>4149.8999999999996</v>
      </c>
      <c r="F923" s="23">
        <v>3551.1</v>
      </c>
      <c r="G923" s="23">
        <v>598.79999999999995</v>
      </c>
      <c r="H923" s="23">
        <v>598.79999999999995</v>
      </c>
      <c r="I923" s="279">
        <f t="shared" si="66"/>
        <v>0.85570736644256495</v>
      </c>
      <c r="J923" s="309"/>
      <c r="K923" s="325"/>
      <c r="L923" s="325"/>
      <c r="M923" s="349"/>
      <c r="N923" s="25"/>
      <c r="O923" s="25"/>
      <c r="P923" s="25"/>
      <c r="Q923" s="25"/>
      <c r="R923" s="322"/>
      <c r="S923" s="319"/>
    </row>
    <row r="924" spans="1:19" ht="25.5" customHeight="1" thickBot="1" x14ac:dyDescent="0.3">
      <c r="A924" s="16" t="s">
        <v>1536</v>
      </c>
      <c r="B924" s="42" t="s">
        <v>1537</v>
      </c>
      <c r="C924" s="17"/>
      <c r="D924" s="18">
        <f>SUM(D925:D930)</f>
        <v>200</v>
      </c>
      <c r="E924" s="18">
        <f>SUM(E925:E930)</f>
        <v>200</v>
      </c>
      <c r="F924" s="18">
        <f>SUM(F925:F930)</f>
        <v>199.79999999999998</v>
      </c>
      <c r="G924" s="18">
        <f>SUM(G925:G930)</f>
        <v>0.2</v>
      </c>
      <c r="H924" s="18">
        <f>SUM(H925:H930)</f>
        <v>0.2</v>
      </c>
      <c r="I924" s="264">
        <f t="shared" si="66"/>
        <v>0.99899999999999989</v>
      </c>
      <c r="J924" s="48" t="s">
        <v>1535</v>
      </c>
      <c r="K924" s="19" t="s">
        <v>29</v>
      </c>
      <c r="L924" s="19">
        <v>100</v>
      </c>
      <c r="M924" s="111">
        <v>100</v>
      </c>
      <c r="N924" s="20"/>
      <c r="O924" s="20"/>
      <c r="P924" s="20"/>
      <c r="Q924" s="20"/>
      <c r="R924" s="147"/>
      <c r="S924" s="52"/>
    </row>
    <row r="925" spans="1:19" ht="51.75" hidden="1" thickBot="1" x14ac:dyDescent="0.3">
      <c r="A925" s="16" t="s">
        <v>1538</v>
      </c>
      <c r="B925" s="42" t="s">
        <v>1539</v>
      </c>
      <c r="C925" s="17" t="s">
        <v>32</v>
      </c>
      <c r="D925" s="26"/>
      <c r="E925" s="26"/>
      <c r="F925" s="26"/>
      <c r="G925" s="26"/>
      <c r="H925" s="26"/>
      <c r="I925" s="264"/>
      <c r="J925" s="48"/>
      <c r="K925" s="19"/>
      <c r="L925" s="19"/>
      <c r="M925" s="19"/>
      <c r="N925" s="20"/>
      <c r="O925" s="20"/>
      <c r="P925" s="20"/>
      <c r="Q925" s="20"/>
      <c r="R925" s="48"/>
      <c r="S925" s="52"/>
    </row>
    <row r="926" spans="1:19" ht="117" customHeight="1" thickBot="1" x14ac:dyDescent="0.3">
      <c r="A926" s="16" t="s">
        <v>1540</v>
      </c>
      <c r="B926" s="42" t="s">
        <v>1541</v>
      </c>
      <c r="C926" s="17" t="s">
        <v>32</v>
      </c>
      <c r="D926" s="26">
        <v>28.3</v>
      </c>
      <c r="E926" s="26">
        <v>28.3</v>
      </c>
      <c r="F926" s="26">
        <v>28.3</v>
      </c>
      <c r="G926" s="26"/>
      <c r="H926" s="26"/>
      <c r="I926" s="264">
        <f t="shared" si="66"/>
        <v>1</v>
      </c>
      <c r="J926" s="48" t="s">
        <v>1535</v>
      </c>
      <c r="K926" s="19" t="s">
        <v>29</v>
      </c>
      <c r="L926" s="19">
        <v>100</v>
      </c>
      <c r="M926" s="111">
        <v>100</v>
      </c>
      <c r="N926" s="20"/>
      <c r="O926" s="20"/>
      <c r="P926" s="20"/>
      <c r="Q926" s="20"/>
      <c r="R926" s="147"/>
      <c r="S926" s="52"/>
    </row>
    <row r="927" spans="1:19" ht="67.5" customHeight="1" thickBot="1" x14ac:dyDescent="0.3">
      <c r="A927" s="16" t="s">
        <v>1542</v>
      </c>
      <c r="B927" s="42" t="s">
        <v>1543</v>
      </c>
      <c r="C927" s="17" t="s">
        <v>32</v>
      </c>
      <c r="D927" s="26">
        <v>14.9</v>
      </c>
      <c r="E927" s="26">
        <v>14.9</v>
      </c>
      <c r="F927" s="26">
        <v>14.8</v>
      </c>
      <c r="G927" s="26">
        <v>0.1</v>
      </c>
      <c r="H927" s="26">
        <v>0.1</v>
      </c>
      <c r="I927" s="264">
        <f t="shared" si="66"/>
        <v>0.99328859060402686</v>
      </c>
      <c r="J927" s="48" t="s">
        <v>1535</v>
      </c>
      <c r="K927" s="19" t="s">
        <v>29</v>
      </c>
      <c r="L927" s="19">
        <v>100</v>
      </c>
      <c r="M927" s="111">
        <v>100</v>
      </c>
      <c r="N927" s="20"/>
      <c r="O927" s="20"/>
      <c r="P927" s="20"/>
      <c r="Q927" s="20"/>
      <c r="R927" s="147"/>
      <c r="S927" s="52"/>
    </row>
    <row r="928" spans="1:19" ht="102.75" thickBot="1" x14ac:dyDescent="0.3">
      <c r="A928" s="16" t="s">
        <v>1544</v>
      </c>
      <c r="B928" s="42" t="s">
        <v>1545</v>
      </c>
      <c r="C928" s="17" t="s">
        <v>32</v>
      </c>
      <c r="D928" s="26">
        <v>19.399999999999999</v>
      </c>
      <c r="E928" s="26">
        <v>19.399999999999999</v>
      </c>
      <c r="F928" s="26">
        <v>19.3</v>
      </c>
      <c r="G928" s="26">
        <v>0.1</v>
      </c>
      <c r="H928" s="26">
        <v>0.1</v>
      </c>
      <c r="I928" s="264">
        <f t="shared" si="66"/>
        <v>0.9948453608247424</v>
      </c>
      <c r="J928" s="48" t="s">
        <v>1535</v>
      </c>
      <c r="K928" s="19" t="s">
        <v>29</v>
      </c>
      <c r="L928" s="19">
        <v>100</v>
      </c>
      <c r="M928" s="111">
        <v>100</v>
      </c>
      <c r="N928" s="20"/>
      <c r="O928" s="20"/>
      <c r="P928" s="20"/>
      <c r="Q928" s="20"/>
      <c r="R928" s="147"/>
      <c r="S928" s="52"/>
    </row>
    <row r="929" spans="1:19" ht="90" thickBot="1" x14ac:dyDescent="0.3">
      <c r="A929" s="16" t="s">
        <v>1546</v>
      </c>
      <c r="B929" s="42" t="s">
        <v>1547</v>
      </c>
      <c r="C929" s="17" t="s">
        <v>32</v>
      </c>
      <c r="D929" s="26">
        <v>72.3</v>
      </c>
      <c r="E929" s="26">
        <v>72.3</v>
      </c>
      <c r="F929" s="26">
        <v>72.3</v>
      </c>
      <c r="G929" s="26"/>
      <c r="H929" s="26"/>
      <c r="I929" s="264">
        <f t="shared" si="66"/>
        <v>1</v>
      </c>
      <c r="J929" s="48" t="s">
        <v>1535</v>
      </c>
      <c r="K929" s="19" t="s">
        <v>29</v>
      </c>
      <c r="L929" s="19">
        <v>100</v>
      </c>
      <c r="M929" s="111">
        <v>100</v>
      </c>
      <c r="N929" s="20"/>
      <c r="O929" s="20"/>
      <c r="P929" s="20"/>
      <c r="Q929" s="20"/>
      <c r="R929" s="147"/>
      <c r="S929" s="52"/>
    </row>
    <row r="930" spans="1:19" ht="77.25" thickBot="1" x14ac:dyDescent="0.3">
      <c r="A930" s="16" t="s">
        <v>1548</v>
      </c>
      <c r="B930" s="42" t="s">
        <v>1549</v>
      </c>
      <c r="C930" s="17" t="s">
        <v>32</v>
      </c>
      <c r="D930" s="26">
        <v>65.099999999999994</v>
      </c>
      <c r="E930" s="26">
        <v>65.099999999999994</v>
      </c>
      <c r="F930" s="26">
        <v>65.099999999999994</v>
      </c>
      <c r="G930" s="26"/>
      <c r="H930" s="26"/>
      <c r="I930" s="264">
        <f t="shared" si="66"/>
        <v>1</v>
      </c>
      <c r="J930" s="48" t="s">
        <v>1535</v>
      </c>
      <c r="K930" s="19" t="s">
        <v>29</v>
      </c>
      <c r="L930" s="19">
        <v>100</v>
      </c>
      <c r="M930" s="111">
        <v>100</v>
      </c>
      <c r="N930" s="20"/>
      <c r="O930" s="20"/>
      <c r="P930" s="20"/>
      <c r="Q930" s="20"/>
      <c r="R930" s="147"/>
      <c r="S930" s="52"/>
    </row>
    <row r="931" spans="1:19" ht="63.75" x14ac:dyDescent="0.25">
      <c r="A931" s="306" t="s">
        <v>1550</v>
      </c>
      <c r="B931" s="308" t="s">
        <v>1551</v>
      </c>
      <c r="C931" s="17"/>
      <c r="D931" s="18">
        <f>SUM(D932:D934)</f>
        <v>145</v>
      </c>
      <c r="E931" s="18">
        <f>SUM(E932:E934)</f>
        <v>145</v>
      </c>
      <c r="F931" s="18">
        <f>SUM(F932:F934)-0.1</f>
        <v>59.6</v>
      </c>
      <c r="G931" s="18">
        <f>SUM(G932:G934)+0.1</f>
        <v>85.399999999999991</v>
      </c>
      <c r="H931" s="18">
        <f>SUM(H932:H934)+0.1</f>
        <v>85.399999999999991</v>
      </c>
      <c r="I931" s="264">
        <f t="shared" si="66"/>
        <v>0.4110344827586207</v>
      </c>
      <c r="J931" s="48" t="s">
        <v>1552</v>
      </c>
      <c r="K931" s="19" t="s">
        <v>29</v>
      </c>
      <c r="L931" s="19">
        <v>100</v>
      </c>
      <c r="M931" s="111">
        <v>100</v>
      </c>
      <c r="N931" s="20"/>
      <c r="O931" s="20"/>
      <c r="P931" s="20"/>
      <c r="Q931" s="20"/>
      <c r="R931" s="311"/>
      <c r="S931" s="303"/>
    </row>
    <row r="932" spans="1:19" ht="51.75" thickBot="1" x14ac:dyDescent="0.3">
      <c r="A932" s="307"/>
      <c r="B932" s="309"/>
      <c r="C932" s="22"/>
      <c r="D932" s="23"/>
      <c r="E932" s="23"/>
      <c r="F932" s="23"/>
      <c r="G932" s="23"/>
      <c r="H932" s="23"/>
      <c r="I932" s="279"/>
      <c r="J932" s="49" t="s">
        <v>1553</v>
      </c>
      <c r="K932" s="24" t="s">
        <v>57</v>
      </c>
      <c r="L932" s="24">
        <v>74</v>
      </c>
      <c r="M932" s="104">
        <v>74</v>
      </c>
      <c r="N932" s="25"/>
      <c r="O932" s="25"/>
      <c r="P932" s="25"/>
      <c r="Q932" s="25"/>
      <c r="R932" s="313"/>
      <c r="S932" s="305"/>
    </row>
    <row r="933" spans="1:19" ht="66" customHeight="1" thickBot="1" x14ac:dyDescent="0.3">
      <c r="A933" s="16" t="s">
        <v>1554</v>
      </c>
      <c r="B933" s="42" t="s">
        <v>1555</v>
      </c>
      <c r="C933" s="17" t="s">
        <v>32</v>
      </c>
      <c r="D933" s="26">
        <v>15</v>
      </c>
      <c r="E933" s="26">
        <v>15</v>
      </c>
      <c r="F933" s="26">
        <v>14.7</v>
      </c>
      <c r="G933" s="26">
        <v>0.3</v>
      </c>
      <c r="H933" s="26">
        <v>0.3</v>
      </c>
      <c r="I933" s="264">
        <f t="shared" si="66"/>
        <v>0.98</v>
      </c>
      <c r="J933" s="48" t="s">
        <v>1553</v>
      </c>
      <c r="K933" s="19" t="s">
        <v>57</v>
      </c>
      <c r="L933" s="19">
        <v>74</v>
      </c>
      <c r="M933" s="111">
        <v>74</v>
      </c>
      <c r="N933" s="20"/>
      <c r="O933" s="20"/>
      <c r="P933" s="20"/>
      <c r="Q933" s="20"/>
      <c r="R933" s="147"/>
      <c r="S933" s="120"/>
    </row>
    <row r="934" spans="1:19" ht="51.75" thickBot="1" x14ac:dyDescent="0.3">
      <c r="A934" s="16" t="s">
        <v>1556</v>
      </c>
      <c r="B934" s="42" t="s">
        <v>1557</v>
      </c>
      <c r="C934" s="17" t="s">
        <v>32</v>
      </c>
      <c r="D934" s="26">
        <v>130</v>
      </c>
      <c r="E934" s="26">
        <v>130</v>
      </c>
      <c r="F934" s="26">
        <v>45</v>
      </c>
      <c r="G934" s="26">
        <v>85</v>
      </c>
      <c r="H934" s="26">
        <v>85</v>
      </c>
      <c r="I934" s="264">
        <f t="shared" si="66"/>
        <v>0.34615384615384615</v>
      </c>
      <c r="J934" s="48" t="s">
        <v>1557</v>
      </c>
      <c r="K934" s="19" t="s">
        <v>29</v>
      </c>
      <c r="L934" s="19">
        <v>100</v>
      </c>
      <c r="M934" s="111">
        <v>100</v>
      </c>
      <c r="N934" s="20"/>
      <c r="O934" s="20"/>
      <c r="P934" s="20"/>
      <c r="Q934" s="20"/>
      <c r="R934" s="147"/>
      <c r="S934" s="120"/>
    </row>
    <row r="935" spans="1:19" ht="39" thickBot="1" x14ac:dyDescent="0.3">
      <c r="A935" s="13" t="s">
        <v>1558</v>
      </c>
      <c r="B935" s="41" t="s">
        <v>1559</v>
      </c>
      <c r="C935" s="14"/>
      <c r="D935" s="15">
        <f>SUM(D936:D938)</f>
        <v>12.1</v>
      </c>
      <c r="E935" s="15">
        <f>SUM(E936:E938)</f>
        <v>12.1</v>
      </c>
      <c r="F935" s="15">
        <f>SUM(F936:F938)</f>
        <v>12.1</v>
      </c>
      <c r="G935" s="15"/>
      <c r="H935" s="15"/>
      <c r="I935" s="260">
        <f>SUM(F935/E935)</f>
        <v>1</v>
      </c>
      <c r="J935" s="329"/>
      <c r="K935" s="330"/>
      <c r="L935" s="330"/>
      <c r="M935" s="330"/>
      <c r="N935" s="330"/>
      <c r="O935" s="330"/>
      <c r="P935" s="330"/>
      <c r="Q935" s="330"/>
      <c r="R935" s="330"/>
      <c r="S935" s="331"/>
    </row>
    <row r="936" spans="1:19" ht="159.75" customHeight="1" thickBot="1" x14ac:dyDescent="0.3">
      <c r="A936" s="16" t="s">
        <v>1560</v>
      </c>
      <c r="B936" s="42" t="s">
        <v>1561</v>
      </c>
      <c r="C936" s="17"/>
      <c r="D936" s="26"/>
      <c r="E936" s="26"/>
      <c r="F936" s="26"/>
      <c r="G936" s="26"/>
      <c r="H936" s="26"/>
      <c r="I936" s="281"/>
      <c r="J936" s="48" t="s">
        <v>1562</v>
      </c>
      <c r="K936" s="19" t="s">
        <v>29</v>
      </c>
      <c r="L936" s="19">
        <v>100</v>
      </c>
      <c r="M936" s="111">
        <v>100</v>
      </c>
      <c r="N936" s="20"/>
      <c r="O936" s="20"/>
      <c r="P936" s="20"/>
      <c r="Q936" s="20"/>
      <c r="R936" s="48" t="s">
        <v>1563</v>
      </c>
      <c r="S936" s="52"/>
    </row>
    <row r="937" spans="1:19" ht="171.75" customHeight="1" x14ac:dyDescent="0.25">
      <c r="A937" s="16" t="s">
        <v>1564</v>
      </c>
      <c r="B937" s="42" t="s">
        <v>1565</v>
      </c>
      <c r="C937" s="17"/>
      <c r="D937" s="26"/>
      <c r="E937" s="26"/>
      <c r="F937" s="26"/>
      <c r="G937" s="26"/>
      <c r="H937" s="26"/>
      <c r="I937" s="281"/>
      <c r="J937" s="48" t="s">
        <v>1566</v>
      </c>
      <c r="K937" s="19" t="s">
        <v>22</v>
      </c>
      <c r="L937" s="19">
        <v>2</v>
      </c>
      <c r="M937" s="108">
        <v>17</v>
      </c>
      <c r="N937" s="20"/>
      <c r="O937" s="20"/>
      <c r="P937" s="20"/>
      <c r="Q937" s="20"/>
      <c r="R937" s="48" t="s">
        <v>1567</v>
      </c>
      <c r="S937" s="52"/>
    </row>
    <row r="938" spans="1:19" ht="205.5" customHeight="1" thickBot="1" x14ac:dyDescent="0.3">
      <c r="A938" s="16" t="s">
        <v>1568</v>
      </c>
      <c r="B938" s="42" t="s">
        <v>1569</v>
      </c>
      <c r="C938" s="17" t="s">
        <v>32</v>
      </c>
      <c r="D938" s="26">
        <v>12.1</v>
      </c>
      <c r="E938" s="26">
        <v>12.1</v>
      </c>
      <c r="F938" s="26">
        <v>12.1</v>
      </c>
      <c r="G938" s="26"/>
      <c r="H938" s="26"/>
      <c r="I938" s="264">
        <f t="shared" ref="I938" si="67">SUM(F938/E938)</f>
        <v>1</v>
      </c>
      <c r="J938" s="48" t="s">
        <v>1570</v>
      </c>
      <c r="K938" s="19" t="s">
        <v>22</v>
      </c>
      <c r="L938" s="19">
        <v>4</v>
      </c>
      <c r="M938" s="111">
        <v>4</v>
      </c>
      <c r="N938" s="20"/>
      <c r="O938" s="20"/>
      <c r="P938" s="20"/>
      <c r="Q938" s="20"/>
      <c r="R938" s="48" t="s">
        <v>1571</v>
      </c>
      <c r="S938" s="52"/>
    </row>
    <row r="939" spans="1:19" ht="25.5" customHeight="1" x14ac:dyDescent="0.25">
      <c r="A939" s="458" t="s">
        <v>1572</v>
      </c>
      <c r="B939" s="449" t="s">
        <v>1573</v>
      </c>
      <c r="C939" s="9"/>
      <c r="D939" s="10">
        <f>SUM(D940:D941)</f>
        <v>636.59999999999991</v>
      </c>
      <c r="E939" s="10">
        <f>SUM(E940:E941)</f>
        <v>636.59999999999991</v>
      </c>
      <c r="F939" s="10">
        <f>SUM(F940:F941)</f>
        <v>593.4</v>
      </c>
      <c r="G939" s="10">
        <f>SUM(G940:G941)</f>
        <v>43.2</v>
      </c>
      <c r="H939" s="10">
        <f>SUM(H940:H941)</f>
        <v>43.2</v>
      </c>
      <c r="I939" s="259">
        <f>SUM(F939/E939)</f>
        <v>0.93213949104618299</v>
      </c>
      <c r="J939" s="47" t="s">
        <v>1574</v>
      </c>
      <c r="K939" s="11" t="s">
        <v>29</v>
      </c>
      <c r="L939" s="11">
        <v>100</v>
      </c>
      <c r="M939" s="11">
        <v>100</v>
      </c>
      <c r="N939" s="12"/>
      <c r="O939" s="12"/>
      <c r="P939" s="12"/>
      <c r="Q939" s="12"/>
      <c r="R939" s="400"/>
      <c r="S939" s="401"/>
    </row>
    <row r="940" spans="1:19" ht="39" thickBot="1" x14ac:dyDescent="0.3">
      <c r="A940" s="460"/>
      <c r="B940" s="451"/>
      <c r="C940" s="65"/>
      <c r="D940" s="66"/>
      <c r="E940" s="66"/>
      <c r="F940" s="66"/>
      <c r="G940" s="66"/>
      <c r="H940" s="66"/>
      <c r="I940" s="280"/>
      <c r="J940" s="64" t="s">
        <v>1575</v>
      </c>
      <c r="K940" s="62" t="s">
        <v>22</v>
      </c>
      <c r="L940" s="62">
        <v>29</v>
      </c>
      <c r="M940" s="102">
        <v>40</v>
      </c>
      <c r="N940" s="63"/>
      <c r="O940" s="63"/>
      <c r="P940" s="63"/>
      <c r="Q940" s="63"/>
      <c r="R940" s="402"/>
      <c r="S940" s="403"/>
    </row>
    <row r="941" spans="1:19" ht="51.75" thickBot="1" x14ac:dyDescent="0.3">
      <c r="A941" s="13" t="s">
        <v>1576</v>
      </c>
      <c r="B941" s="41" t="s">
        <v>1577</v>
      </c>
      <c r="C941" s="14"/>
      <c r="D941" s="15">
        <f>D942+D945+D951+D953+D954+D958+D961</f>
        <v>636.59999999999991</v>
      </c>
      <c r="E941" s="15">
        <f>E942+E945+E951+E953+E954+E958+E961</f>
        <v>636.59999999999991</v>
      </c>
      <c r="F941" s="15">
        <f>F942+F945+F951+F953+F954+F958+F961-0.1</f>
        <v>593.4</v>
      </c>
      <c r="G941" s="15">
        <f>G942+G945+G951+G953+G954+G958+G961+0.1</f>
        <v>43.2</v>
      </c>
      <c r="H941" s="15">
        <f>H942+H945+H951+H953+H954+H958+H961+0.1</f>
        <v>43.2</v>
      </c>
      <c r="I941" s="260">
        <f>SUM(F941/E941)</f>
        <v>0.93213949104618299</v>
      </c>
      <c r="J941" s="329"/>
      <c r="K941" s="330"/>
      <c r="L941" s="330"/>
      <c r="M941" s="330"/>
      <c r="N941" s="330"/>
      <c r="O941" s="330"/>
      <c r="P941" s="330"/>
      <c r="Q941" s="330"/>
      <c r="R941" s="330"/>
      <c r="S941" s="331"/>
    </row>
    <row r="942" spans="1:19" ht="39" thickBot="1" x14ac:dyDescent="0.3">
      <c r="A942" s="16" t="s">
        <v>1578</v>
      </c>
      <c r="B942" s="42" t="s">
        <v>1579</v>
      </c>
      <c r="C942" s="17"/>
      <c r="D942" s="18">
        <f>SUM(D943:D944)</f>
        <v>48</v>
      </c>
      <c r="E942" s="18">
        <f>SUM(E943:E944)</f>
        <v>48</v>
      </c>
      <c r="F942" s="18">
        <f>SUM(F943:F944)</f>
        <v>48</v>
      </c>
      <c r="G942" s="18"/>
      <c r="H942" s="18"/>
      <c r="I942" s="264">
        <f t="shared" ref="I942:I949" si="68">SUM(F942/E942)</f>
        <v>1</v>
      </c>
      <c r="J942" s="48" t="s">
        <v>1580</v>
      </c>
      <c r="K942" s="19" t="s">
        <v>57</v>
      </c>
      <c r="L942" s="19">
        <v>37</v>
      </c>
      <c r="M942" s="111">
        <v>37</v>
      </c>
      <c r="N942" s="20"/>
      <c r="O942" s="20"/>
      <c r="P942" s="20"/>
      <c r="Q942" s="20"/>
      <c r="R942" s="48" t="s">
        <v>1581</v>
      </c>
      <c r="S942" s="52"/>
    </row>
    <row r="943" spans="1:19" ht="42" customHeight="1" thickBot="1" x14ac:dyDescent="0.3">
      <c r="A943" s="16" t="s">
        <v>1582</v>
      </c>
      <c r="B943" s="42" t="s">
        <v>1583</v>
      </c>
      <c r="C943" s="17" t="s">
        <v>32</v>
      </c>
      <c r="D943" s="26">
        <v>37</v>
      </c>
      <c r="E943" s="26">
        <v>37</v>
      </c>
      <c r="F943" s="26">
        <v>37</v>
      </c>
      <c r="G943" s="26"/>
      <c r="H943" s="26"/>
      <c r="I943" s="264">
        <f t="shared" si="68"/>
        <v>1</v>
      </c>
      <c r="J943" s="48" t="s">
        <v>1580</v>
      </c>
      <c r="K943" s="19" t="s">
        <v>57</v>
      </c>
      <c r="L943" s="19">
        <v>15</v>
      </c>
      <c r="M943" s="111">
        <v>15</v>
      </c>
      <c r="N943" s="20"/>
      <c r="O943" s="20"/>
      <c r="P943" s="20"/>
      <c r="Q943" s="20"/>
      <c r="R943" s="147"/>
      <c r="S943" s="52"/>
    </row>
    <row r="944" spans="1:19" ht="45.75" customHeight="1" thickBot="1" x14ac:dyDescent="0.3">
      <c r="A944" s="16" t="s">
        <v>1584</v>
      </c>
      <c r="B944" s="42" t="s">
        <v>1585</v>
      </c>
      <c r="C944" s="17" t="s">
        <v>32</v>
      </c>
      <c r="D944" s="26">
        <v>11</v>
      </c>
      <c r="E944" s="26">
        <v>11</v>
      </c>
      <c r="F944" s="26">
        <v>11</v>
      </c>
      <c r="G944" s="26"/>
      <c r="H944" s="26"/>
      <c r="I944" s="264">
        <f t="shared" si="68"/>
        <v>1</v>
      </c>
      <c r="J944" s="48" t="s">
        <v>1580</v>
      </c>
      <c r="K944" s="19" t="s">
        <v>57</v>
      </c>
      <c r="L944" s="19">
        <v>22</v>
      </c>
      <c r="M944" s="111">
        <v>22</v>
      </c>
      <c r="N944" s="20"/>
      <c r="O944" s="20"/>
      <c r="P944" s="20"/>
      <c r="Q944" s="20"/>
      <c r="R944" s="147"/>
      <c r="S944" s="52"/>
    </row>
    <row r="945" spans="1:19" ht="25.5" customHeight="1" x14ac:dyDescent="0.25">
      <c r="A945" s="306" t="s">
        <v>1586</v>
      </c>
      <c r="B945" s="308" t="s">
        <v>1587</v>
      </c>
      <c r="C945" s="17"/>
      <c r="D945" s="18">
        <f>D946+D947+D948+D950</f>
        <v>127.4</v>
      </c>
      <c r="E945" s="18">
        <f>E946+E947+E948+E950</f>
        <v>127.4</v>
      </c>
      <c r="F945" s="18">
        <f>F946+F947+F948+F950</f>
        <v>124.1</v>
      </c>
      <c r="G945" s="18">
        <f>G946+G947+G948+G950</f>
        <v>3.3000000000000003</v>
      </c>
      <c r="H945" s="18">
        <f>H946+H947+H948+H950</f>
        <v>3.3000000000000003</v>
      </c>
      <c r="I945" s="264">
        <f t="shared" si="68"/>
        <v>0.97409733124018827</v>
      </c>
      <c r="J945" s="48" t="s">
        <v>1588</v>
      </c>
      <c r="K945" s="19" t="s">
        <v>22</v>
      </c>
      <c r="L945" s="19">
        <v>11</v>
      </c>
      <c r="M945" s="111">
        <v>11</v>
      </c>
      <c r="N945" s="20"/>
      <c r="O945" s="20"/>
      <c r="P945" s="20"/>
      <c r="Q945" s="20"/>
      <c r="R945" s="320"/>
      <c r="S945" s="303"/>
    </row>
    <row r="946" spans="1:19" ht="15.75" thickBot="1" x14ac:dyDescent="0.3">
      <c r="A946" s="307"/>
      <c r="B946" s="309"/>
      <c r="C946" s="22"/>
      <c r="D946" s="23"/>
      <c r="E946" s="23"/>
      <c r="F946" s="23"/>
      <c r="G946" s="23"/>
      <c r="H946" s="23"/>
      <c r="I946" s="279"/>
      <c r="J946" s="49" t="s">
        <v>1589</v>
      </c>
      <c r="K946" s="24" t="s">
        <v>22</v>
      </c>
      <c r="L946" s="24">
        <v>2</v>
      </c>
      <c r="M946" s="110">
        <v>3</v>
      </c>
      <c r="N946" s="25"/>
      <c r="O946" s="25"/>
      <c r="P946" s="25"/>
      <c r="Q946" s="25"/>
      <c r="R946" s="322"/>
      <c r="S946" s="305"/>
    </row>
    <row r="947" spans="1:19" ht="26.25" thickBot="1" x14ac:dyDescent="0.3">
      <c r="A947" s="16" t="s">
        <v>1590</v>
      </c>
      <c r="B947" s="42" t="s">
        <v>1591</v>
      </c>
      <c r="C947" s="17" t="s">
        <v>55</v>
      </c>
      <c r="D947" s="26">
        <v>77.400000000000006</v>
      </c>
      <c r="E947" s="26">
        <v>77.400000000000006</v>
      </c>
      <c r="F947" s="26">
        <v>77.3</v>
      </c>
      <c r="G947" s="26">
        <v>0.1</v>
      </c>
      <c r="H947" s="26">
        <v>0.1</v>
      </c>
      <c r="I947" s="264">
        <f t="shared" si="68"/>
        <v>0.99870801033591716</v>
      </c>
      <c r="J947" s="48" t="s">
        <v>1588</v>
      </c>
      <c r="K947" s="19" t="s">
        <v>22</v>
      </c>
      <c r="L947" s="19">
        <v>11</v>
      </c>
      <c r="M947" s="111">
        <v>11</v>
      </c>
      <c r="N947" s="20"/>
      <c r="O947" s="20"/>
      <c r="P947" s="20"/>
      <c r="Q947" s="20"/>
      <c r="R947" s="147"/>
      <c r="S947" s="52"/>
    </row>
    <row r="948" spans="1:19" ht="30" customHeight="1" x14ac:dyDescent="0.25">
      <c r="A948" s="306" t="s">
        <v>1592</v>
      </c>
      <c r="B948" s="308" t="s">
        <v>1593</v>
      </c>
      <c r="C948" s="17"/>
      <c r="D948" s="18">
        <f>SUM(D949:D949)</f>
        <v>50</v>
      </c>
      <c r="E948" s="18">
        <f>SUM(E949:E949)</f>
        <v>50</v>
      </c>
      <c r="F948" s="18">
        <f>SUM(F949:F949)</f>
        <v>46.8</v>
      </c>
      <c r="G948" s="18">
        <f>SUM(G949:G949)</f>
        <v>3.2</v>
      </c>
      <c r="H948" s="18">
        <f>SUM(H949:H949)</f>
        <v>3.2</v>
      </c>
      <c r="I948" s="264">
        <f t="shared" si="68"/>
        <v>0.93599999999999994</v>
      </c>
      <c r="J948" s="308" t="s">
        <v>1589</v>
      </c>
      <c r="K948" s="323" t="s">
        <v>22</v>
      </c>
      <c r="L948" s="323">
        <v>2</v>
      </c>
      <c r="M948" s="346">
        <v>3</v>
      </c>
      <c r="N948" s="20"/>
      <c r="O948" s="20"/>
      <c r="P948" s="20"/>
      <c r="Q948" s="20"/>
      <c r="R948" s="308" t="s">
        <v>1923</v>
      </c>
      <c r="S948" s="317"/>
    </row>
    <row r="949" spans="1:19" ht="14.25" customHeight="1" thickBot="1" x14ac:dyDescent="0.3">
      <c r="A949" s="307"/>
      <c r="B949" s="309"/>
      <c r="C949" s="22" t="s">
        <v>30</v>
      </c>
      <c r="D949" s="23">
        <v>50</v>
      </c>
      <c r="E949" s="23">
        <v>50</v>
      </c>
      <c r="F949" s="23">
        <v>46.8</v>
      </c>
      <c r="G949" s="23">
        <v>3.2</v>
      </c>
      <c r="H949" s="23">
        <v>3.2</v>
      </c>
      <c r="I949" s="279">
        <f t="shared" si="68"/>
        <v>0.93599999999999994</v>
      </c>
      <c r="J949" s="309"/>
      <c r="K949" s="325"/>
      <c r="L949" s="325"/>
      <c r="M949" s="337"/>
      <c r="N949" s="25"/>
      <c r="O949" s="25"/>
      <c r="P949" s="25"/>
      <c r="Q949" s="25"/>
      <c r="R949" s="309"/>
      <c r="S949" s="319"/>
    </row>
    <row r="950" spans="1:19" ht="26.25" hidden="1" thickBot="1" x14ac:dyDescent="0.3">
      <c r="A950" s="68" t="s">
        <v>1594</v>
      </c>
      <c r="B950" s="48" t="s">
        <v>1595</v>
      </c>
      <c r="C950" s="17"/>
      <c r="D950" s="26"/>
      <c r="E950" s="26"/>
      <c r="F950" s="26"/>
      <c r="G950" s="26"/>
      <c r="H950" s="26"/>
      <c r="I950" s="281"/>
      <c r="J950" s="48"/>
      <c r="K950" s="19"/>
      <c r="L950" s="19"/>
      <c r="M950" s="19"/>
      <c r="N950" s="20"/>
      <c r="O950" s="20"/>
      <c r="P950" s="20"/>
      <c r="Q950" s="20"/>
      <c r="R950" s="48"/>
      <c r="S950" s="52"/>
    </row>
    <row r="951" spans="1:19" ht="25.5" x14ac:dyDescent="0.25">
      <c r="A951" s="306" t="s">
        <v>1596</v>
      </c>
      <c r="B951" s="308" t="s">
        <v>1597</v>
      </c>
      <c r="C951" s="17" t="s">
        <v>32</v>
      </c>
      <c r="D951" s="18">
        <f>SUM(D952:D952)+35</f>
        <v>35</v>
      </c>
      <c r="E951" s="18">
        <f>SUM(E952:E952)+35</f>
        <v>35</v>
      </c>
      <c r="F951" s="18">
        <f>SUM(F952:F952)+35</f>
        <v>35</v>
      </c>
      <c r="G951" s="18"/>
      <c r="H951" s="18"/>
      <c r="I951" s="264">
        <f t="shared" ref="I951" si="69">SUM(F951/E951)</f>
        <v>1</v>
      </c>
      <c r="J951" s="48" t="s">
        <v>1588</v>
      </c>
      <c r="K951" s="19" t="s">
        <v>22</v>
      </c>
      <c r="L951" s="19">
        <v>12</v>
      </c>
      <c r="M951" s="107">
        <v>11</v>
      </c>
      <c r="N951" s="20"/>
      <c r="O951" s="20"/>
      <c r="P951" s="20"/>
      <c r="Q951" s="20"/>
      <c r="R951" s="48" t="s">
        <v>1924</v>
      </c>
      <c r="S951" s="52" t="s">
        <v>1718</v>
      </c>
    </row>
    <row r="952" spans="1:19" ht="17.25" customHeight="1" thickBot="1" x14ac:dyDescent="0.3">
      <c r="A952" s="307"/>
      <c r="B952" s="309"/>
      <c r="C952" s="22"/>
      <c r="D952" s="23"/>
      <c r="E952" s="23"/>
      <c r="F952" s="23"/>
      <c r="G952" s="23"/>
      <c r="H952" s="23"/>
      <c r="I952" s="269"/>
      <c r="J952" s="49" t="s">
        <v>1598</v>
      </c>
      <c r="K952" s="24" t="s">
        <v>22</v>
      </c>
      <c r="L952" s="24">
        <v>1</v>
      </c>
      <c r="M952" s="103">
        <v>0</v>
      </c>
      <c r="N952" s="25"/>
      <c r="O952" s="25"/>
      <c r="P952" s="25"/>
      <c r="Q952" s="25"/>
      <c r="R952" s="145"/>
      <c r="S952" s="53" t="s">
        <v>1706</v>
      </c>
    </row>
    <row r="953" spans="1:19" ht="39" hidden="1" thickBot="1" x14ac:dyDescent="0.3">
      <c r="A953" s="16" t="s">
        <v>1599</v>
      </c>
      <c r="B953" s="42" t="s">
        <v>1600</v>
      </c>
      <c r="C953" s="17" t="s">
        <v>32</v>
      </c>
      <c r="D953" s="26"/>
      <c r="E953" s="26"/>
      <c r="F953" s="26"/>
      <c r="G953" s="26"/>
      <c r="H953" s="26"/>
      <c r="I953" s="281"/>
      <c r="J953" s="48"/>
      <c r="K953" s="19"/>
      <c r="L953" s="19"/>
      <c r="M953" s="19"/>
      <c r="N953" s="20"/>
      <c r="O953" s="20"/>
      <c r="P953" s="20"/>
      <c r="Q953" s="20"/>
      <c r="R953" s="48"/>
      <c r="S953" s="52"/>
    </row>
    <row r="954" spans="1:19" ht="40.5" customHeight="1" x14ac:dyDescent="0.25">
      <c r="A954" s="306" t="s">
        <v>1601</v>
      </c>
      <c r="B954" s="308" t="s">
        <v>1602</v>
      </c>
      <c r="C954" s="17"/>
      <c r="D954" s="18">
        <f>SUM(D955:D957)</f>
        <v>348.4</v>
      </c>
      <c r="E954" s="18">
        <f>SUM(E955:E957)</f>
        <v>348.4</v>
      </c>
      <c r="F954" s="18">
        <f>SUM(F955:F957)</f>
        <v>314.89999999999998</v>
      </c>
      <c r="G954" s="18">
        <f>SUM(G955:G957)</f>
        <v>33.5</v>
      </c>
      <c r="H954" s="18">
        <f>SUM(H955:H957)</f>
        <v>33.5</v>
      </c>
      <c r="I954" s="264">
        <f t="shared" ref="I954" si="70">SUM(F954/E954)</f>
        <v>0.90384615384615385</v>
      </c>
      <c r="J954" s="48" t="s">
        <v>1603</v>
      </c>
      <c r="K954" s="19" t="s">
        <v>22</v>
      </c>
      <c r="L954" s="19">
        <v>2</v>
      </c>
      <c r="M954" s="153">
        <v>3</v>
      </c>
      <c r="N954" s="20"/>
      <c r="O954" s="20"/>
      <c r="P954" s="20"/>
      <c r="Q954" s="20"/>
      <c r="R954" s="486"/>
      <c r="S954" s="303"/>
    </row>
    <row r="955" spans="1:19" ht="15.75" thickBot="1" x14ac:dyDescent="0.3">
      <c r="A955" s="307"/>
      <c r="B955" s="309"/>
      <c r="C955" s="22"/>
      <c r="D955" s="23"/>
      <c r="E955" s="23"/>
      <c r="F955" s="23"/>
      <c r="G955" s="23"/>
      <c r="H955" s="23"/>
      <c r="I955" s="269"/>
      <c r="J955" s="49" t="s">
        <v>1604</v>
      </c>
      <c r="K955" s="24" t="s">
        <v>22</v>
      </c>
      <c r="L955" s="24">
        <v>2</v>
      </c>
      <c r="M955" s="104">
        <v>2</v>
      </c>
      <c r="N955" s="25"/>
      <c r="O955" s="25"/>
      <c r="P955" s="25"/>
      <c r="Q955" s="25"/>
      <c r="R955" s="487"/>
      <c r="S955" s="305"/>
    </row>
    <row r="956" spans="1:19" ht="55.5" customHeight="1" thickBot="1" x14ac:dyDescent="0.3">
      <c r="A956" s="16" t="s">
        <v>1605</v>
      </c>
      <c r="B956" s="42" t="s">
        <v>1606</v>
      </c>
      <c r="C956" s="17" t="s">
        <v>32</v>
      </c>
      <c r="D956" s="26">
        <v>328.4</v>
      </c>
      <c r="E956" s="26">
        <v>328.4</v>
      </c>
      <c r="F956" s="26">
        <v>294.89999999999998</v>
      </c>
      <c r="G956" s="26">
        <v>33.5</v>
      </c>
      <c r="H956" s="26">
        <v>33.5</v>
      </c>
      <c r="I956" s="264">
        <f t="shared" ref="I956:I958" si="71">SUM(F956/E956)</f>
        <v>0.8979902557856273</v>
      </c>
      <c r="J956" s="48" t="s">
        <v>1607</v>
      </c>
      <c r="K956" s="19" t="s">
        <v>22</v>
      </c>
      <c r="L956" s="19">
        <v>2</v>
      </c>
      <c r="M956" s="153">
        <v>3</v>
      </c>
      <c r="N956" s="20"/>
      <c r="O956" s="20"/>
      <c r="P956" s="20"/>
      <c r="Q956" s="20"/>
      <c r="R956" s="154" t="s">
        <v>1719</v>
      </c>
      <c r="S956" s="120"/>
    </row>
    <row r="957" spans="1:19" ht="26.25" thickBot="1" x14ac:dyDescent="0.3">
      <c r="A957" s="16" t="s">
        <v>1608</v>
      </c>
      <c r="B957" s="42" t="s">
        <v>1609</v>
      </c>
      <c r="C957" s="17" t="s">
        <v>32</v>
      </c>
      <c r="D957" s="26">
        <v>20</v>
      </c>
      <c r="E957" s="26">
        <v>20</v>
      </c>
      <c r="F957" s="26">
        <v>20</v>
      </c>
      <c r="G957" s="26"/>
      <c r="H957" s="26"/>
      <c r="I957" s="264">
        <f t="shared" si="71"/>
        <v>1</v>
      </c>
      <c r="J957" s="48" t="s">
        <v>1610</v>
      </c>
      <c r="K957" s="19" t="s">
        <v>22</v>
      </c>
      <c r="L957" s="19">
        <v>2</v>
      </c>
      <c r="M957" s="111">
        <v>2</v>
      </c>
      <c r="N957" s="20"/>
      <c r="O957" s="20"/>
      <c r="P957" s="20"/>
      <c r="Q957" s="20"/>
      <c r="R957" s="48" t="s">
        <v>1925</v>
      </c>
      <c r="S957" s="52"/>
    </row>
    <row r="958" spans="1:19" ht="134.25" customHeight="1" x14ac:dyDescent="0.25">
      <c r="A958" s="306" t="s">
        <v>1611</v>
      </c>
      <c r="B958" s="308" t="s">
        <v>1475</v>
      </c>
      <c r="C958" s="17" t="s">
        <v>32</v>
      </c>
      <c r="D958" s="18">
        <f>SUM(D959:D960)+25</f>
        <v>25</v>
      </c>
      <c r="E958" s="18">
        <f>SUM(E959:E960)+25</f>
        <v>25</v>
      </c>
      <c r="F958" s="18">
        <f>SUM(F959:F960)+23.8</f>
        <v>23.8</v>
      </c>
      <c r="G958" s="18">
        <f>SUM(G959:G960)+1.2</f>
        <v>1.2</v>
      </c>
      <c r="H958" s="18">
        <f>SUM(H959:H960)+1.2</f>
        <v>1.2</v>
      </c>
      <c r="I958" s="264">
        <f t="shared" si="71"/>
        <v>0.95200000000000007</v>
      </c>
      <c r="J958" s="48" t="s">
        <v>1588</v>
      </c>
      <c r="K958" s="19" t="s">
        <v>22</v>
      </c>
      <c r="L958" s="19">
        <v>5</v>
      </c>
      <c r="M958" s="108">
        <v>11</v>
      </c>
      <c r="N958" s="20"/>
      <c r="O958" s="20"/>
      <c r="P958" s="20"/>
      <c r="Q958" s="20"/>
      <c r="R958" s="308" t="s">
        <v>1926</v>
      </c>
      <c r="S958" s="294"/>
    </row>
    <row r="959" spans="1:19" x14ac:dyDescent="0.25">
      <c r="A959" s="406"/>
      <c r="B959" s="310"/>
      <c r="C959" s="22"/>
      <c r="D959" s="23"/>
      <c r="E959" s="23"/>
      <c r="F959" s="23"/>
      <c r="G959" s="23"/>
      <c r="H959" s="23"/>
      <c r="I959" s="269"/>
      <c r="J959" s="49" t="s">
        <v>1612</v>
      </c>
      <c r="K959" s="24" t="s">
        <v>57</v>
      </c>
      <c r="L959" s="94">
        <v>1000</v>
      </c>
      <c r="M959" s="114">
        <v>1390</v>
      </c>
      <c r="N959" s="25"/>
      <c r="O959" s="25"/>
      <c r="P959" s="25"/>
      <c r="Q959" s="25"/>
      <c r="R959" s="310"/>
      <c r="S959" s="295"/>
    </row>
    <row r="960" spans="1:19" ht="53.25" customHeight="1" thickBot="1" x14ac:dyDescent="0.3">
      <c r="A960" s="307"/>
      <c r="B960" s="309"/>
      <c r="C960" s="22"/>
      <c r="D960" s="23"/>
      <c r="E960" s="23"/>
      <c r="F960" s="23"/>
      <c r="G960" s="23"/>
      <c r="H960" s="23"/>
      <c r="I960" s="270"/>
      <c r="J960" s="49" t="s">
        <v>1613</v>
      </c>
      <c r="K960" s="24" t="s">
        <v>29</v>
      </c>
      <c r="L960" s="24">
        <v>0.6</v>
      </c>
      <c r="M960" s="110">
        <v>0.8</v>
      </c>
      <c r="N960" s="25"/>
      <c r="O960" s="25"/>
      <c r="P960" s="25"/>
      <c r="Q960" s="25"/>
      <c r="R960" s="309"/>
      <c r="S960" s="296"/>
    </row>
    <row r="961" spans="1:20" ht="27.75" customHeight="1" x14ac:dyDescent="0.25">
      <c r="A961" s="306" t="s">
        <v>1614</v>
      </c>
      <c r="B961" s="308" t="s">
        <v>1615</v>
      </c>
      <c r="C961" s="17"/>
      <c r="D961" s="18">
        <f>SUM(D962:D966)</f>
        <v>52.8</v>
      </c>
      <c r="E961" s="18">
        <f>SUM(E962:E966)</f>
        <v>52.8</v>
      </c>
      <c r="F961" s="18">
        <f>SUM(F962:F966)</f>
        <v>47.699999999999996</v>
      </c>
      <c r="G961" s="18">
        <f>SUM(G962:G966)</f>
        <v>5.0999999999999996</v>
      </c>
      <c r="H961" s="81">
        <f>SUM(H962:H966)</f>
        <v>5.0999999999999996</v>
      </c>
      <c r="I961" s="274">
        <f t="shared" ref="I961" si="72">SUM(F961/E961)</f>
        <v>0.90340909090909083</v>
      </c>
      <c r="J961" s="80" t="s">
        <v>1616</v>
      </c>
      <c r="K961" s="19" t="s">
        <v>282</v>
      </c>
      <c r="L961" s="19">
        <v>1</v>
      </c>
      <c r="M961" s="106">
        <v>0</v>
      </c>
      <c r="N961" s="20"/>
      <c r="O961" s="20"/>
      <c r="P961" s="20"/>
      <c r="Q961" s="20"/>
      <c r="R961" s="147"/>
      <c r="S961" s="52" t="s">
        <v>1927</v>
      </c>
    </row>
    <row r="962" spans="1:20" ht="51" x14ac:dyDescent="0.25">
      <c r="A962" s="406"/>
      <c r="B962" s="310"/>
      <c r="C962" s="22"/>
      <c r="D962" s="23"/>
      <c r="E962" s="23"/>
      <c r="F962" s="23"/>
      <c r="G962" s="23"/>
      <c r="H962" s="82"/>
      <c r="I962" s="287"/>
      <c r="J962" s="55" t="s">
        <v>1617</v>
      </c>
      <c r="K962" s="24" t="s">
        <v>29</v>
      </c>
      <c r="L962" s="24">
        <v>70</v>
      </c>
      <c r="M962" s="109">
        <v>67</v>
      </c>
      <c r="N962" s="25"/>
      <c r="O962" s="25"/>
      <c r="P962" s="25"/>
      <c r="Q962" s="25"/>
      <c r="R962" s="145"/>
      <c r="S962" s="53" t="s">
        <v>1717</v>
      </c>
    </row>
    <row r="963" spans="1:20" ht="34.5" customHeight="1" x14ac:dyDescent="0.25">
      <c r="A963" s="406"/>
      <c r="B963" s="310"/>
      <c r="C963" s="22"/>
      <c r="D963" s="23"/>
      <c r="E963" s="23"/>
      <c r="F963" s="23"/>
      <c r="G963" s="23"/>
      <c r="H963" s="82"/>
      <c r="I963" s="288"/>
      <c r="J963" s="484" t="s">
        <v>1618</v>
      </c>
      <c r="K963" s="334" t="s">
        <v>57</v>
      </c>
      <c r="L963" s="334">
        <v>60</v>
      </c>
      <c r="M963" s="353">
        <v>60</v>
      </c>
      <c r="N963" s="25"/>
      <c r="O963" s="25"/>
      <c r="P963" s="25"/>
      <c r="Q963" s="25"/>
      <c r="R963" s="237"/>
      <c r="S963" s="339"/>
    </row>
    <row r="964" spans="1:20" x14ac:dyDescent="0.25">
      <c r="A964" s="406"/>
      <c r="B964" s="310"/>
      <c r="C964" s="22" t="s">
        <v>30</v>
      </c>
      <c r="D964" s="23">
        <v>3.9</v>
      </c>
      <c r="E964" s="23">
        <v>3.9</v>
      </c>
      <c r="F964" s="23">
        <v>3.9</v>
      </c>
      <c r="G964" s="23"/>
      <c r="H964" s="82"/>
      <c r="I964" s="262">
        <f t="shared" ref="I964:I966" si="73">SUM(F964/E964)</f>
        <v>1</v>
      </c>
      <c r="J964" s="464"/>
      <c r="K964" s="324"/>
      <c r="L964" s="324"/>
      <c r="M964" s="348"/>
      <c r="N964" s="25"/>
      <c r="O964" s="25"/>
      <c r="P964" s="25"/>
      <c r="Q964" s="25"/>
      <c r="R964" s="238"/>
      <c r="S964" s="304"/>
    </row>
    <row r="965" spans="1:20" x14ac:dyDescent="0.25">
      <c r="A965" s="406"/>
      <c r="B965" s="310"/>
      <c r="C965" s="22" t="s">
        <v>55</v>
      </c>
      <c r="D965" s="23">
        <v>43.9</v>
      </c>
      <c r="E965" s="23">
        <v>43.9</v>
      </c>
      <c r="F965" s="23">
        <v>43.8</v>
      </c>
      <c r="G965" s="23">
        <v>0.1</v>
      </c>
      <c r="H965" s="82">
        <v>0.1</v>
      </c>
      <c r="I965" s="262">
        <f t="shared" si="73"/>
        <v>0.99772209567198178</v>
      </c>
      <c r="J965" s="464"/>
      <c r="K965" s="324"/>
      <c r="L965" s="324"/>
      <c r="M965" s="348"/>
      <c r="N965" s="25"/>
      <c r="O965" s="25"/>
      <c r="P965" s="25"/>
      <c r="Q965" s="25"/>
      <c r="R965" s="238"/>
      <c r="S965" s="304"/>
    </row>
    <row r="966" spans="1:20" ht="15.75" thickBot="1" x14ac:dyDescent="0.3">
      <c r="A966" s="307"/>
      <c r="B966" s="309"/>
      <c r="C966" s="27" t="s">
        <v>32</v>
      </c>
      <c r="D966" s="28">
        <v>5</v>
      </c>
      <c r="E966" s="28">
        <v>5</v>
      </c>
      <c r="F966" s="28"/>
      <c r="G966" s="28">
        <v>5</v>
      </c>
      <c r="H966" s="83">
        <v>5</v>
      </c>
      <c r="I966" s="289">
        <f t="shared" si="73"/>
        <v>0</v>
      </c>
      <c r="J966" s="485"/>
      <c r="K966" s="325"/>
      <c r="L966" s="325"/>
      <c r="M966" s="349"/>
      <c r="N966" s="29"/>
      <c r="O966" s="29"/>
      <c r="P966" s="29"/>
      <c r="Q966" s="29"/>
      <c r="R966" s="239"/>
      <c r="S966" s="305"/>
    </row>
    <row r="967" spans="1:20" s="35" customFormat="1" x14ac:dyDescent="0.25">
      <c r="A967" s="30"/>
      <c r="B967" s="45"/>
      <c r="C967" s="31"/>
      <c r="D967" s="32"/>
      <c r="E967" s="32"/>
      <c r="F967" s="32"/>
      <c r="G967" s="32"/>
      <c r="H967" s="32"/>
      <c r="I967" s="290"/>
      <c r="J967" s="50"/>
      <c r="K967" s="33"/>
      <c r="L967" s="33"/>
      <c r="M967" s="33"/>
      <c r="N967" s="34"/>
      <c r="O967" s="34"/>
      <c r="P967" s="34"/>
      <c r="Q967" s="34"/>
      <c r="R967" s="50"/>
      <c r="S967" s="50"/>
      <c r="T967" s="1"/>
    </row>
    <row r="968" spans="1:20" s="35" customFormat="1" x14ac:dyDescent="0.25">
      <c r="A968" s="30"/>
      <c r="B968" s="45"/>
      <c r="C968" s="31"/>
      <c r="D968" s="32"/>
      <c r="E968" s="32"/>
      <c r="F968" s="32"/>
      <c r="G968" s="32"/>
      <c r="H968" s="32"/>
      <c r="I968" s="290"/>
      <c r="J968" s="50"/>
      <c r="K968" s="33"/>
      <c r="L968" s="33"/>
      <c r="M968" s="33"/>
      <c r="N968" s="34"/>
      <c r="O968" s="34"/>
      <c r="P968" s="34"/>
      <c r="Q968" s="34"/>
      <c r="R968" s="50"/>
      <c r="S968" s="50"/>
      <c r="T968" s="1"/>
    </row>
    <row r="969" spans="1:20" s="35" customFormat="1" x14ac:dyDescent="0.25">
      <c r="A969" s="30"/>
      <c r="B969" s="45"/>
      <c r="C969" s="31"/>
      <c r="D969" s="32"/>
      <c r="E969" s="32"/>
      <c r="F969" s="32"/>
      <c r="G969" s="32"/>
      <c r="H969" s="32"/>
      <c r="I969" s="290"/>
      <c r="J969" s="50"/>
      <c r="K969" s="33"/>
      <c r="L969" s="33"/>
      <c r="M969" s="33"/>
      <c r="N969" s="34"/>
      <c r="O969" s="34"/>
      <c r="P969" s="34"/>
      <c r="Q969" s="34"/>
      <c r="R969" s="50"/>
      <c r="S969" s="50"/>
      <c r="T969" s="1"/>
    </row>
    <row r="970" spans="1:20" s="35" customFormat="1" x14ac:dyDescent="0.25">
      <c r="A970" s="30"/>
      <c r="B970" s="45"/>
      <c r="C970" s="31"/>
      <c r="D970" s="32"/>
      <c r="E970" s="32"/>
      <c r="F970" s="32"/>
      <c r="G970" s="32"/>
      <c r="H970" s="32"/>
      <c r="I970" s="290"/>
      <c r="J970" s="50"/>
      <c r="K970" s="33"/>
      <c r="L970" s="33"/>
      <c r="M970" s="33"/>
      <c r="N970" s="34"/>
      <c r="O970" s="34"/>
      <c r="P970" s="34"/>
      <c r="Q970" s="34"/>
      <c r="R970" s="50"/>
      <c r="S970" s="50"/>
      <c r="T970" s="1"/>
    </row>
    <row r="971" spans="1:20" s="35" customFormat="1" x14ac:dyDescent="0.25">
      <c r="A971" s="30"/>
      <c r="B971" s="45"/>
      <c r="C971" s="31"/>
      <c r="D971" s="32"/>
      <c r="E971" s="32"/>
      <c r="F971" s="32"/>
      <c r="G971" s="32"/>
      <c r="H971" s="32"/>
      <c r="I971" s="290"/>
      <c r="J971" s="50"/>
      <c r="K971" s="33"/>
      <c r="L971" s="33"/>
      <c r="M971" s="33"/>
      <c r="N971" s="34"/>
      <c r="O971" s="34"/>
      <c r="P971" s="34"/>
      <c r="Q971" s="34"/>
      <c r="R971" s="50"/>
      <c r="S971" s="50"/>
      <c r="T971" s="1"/>
    </row>
    <row r="972" spans="1:20" ht="37.5" customHeight="1" x14ac:dyDescent="0.25">
      <c r="A972" s="435" t="s">
        <v>0</v>
      </c>
      <c r="B972" s="432" t="s">
        <v>1</v>
      </c>
      <c r="C972" s="432" t="s">
        <v>3</v>
      </c>
      <c r="D972" s="448"/>
      <c r="E972" s="447" t="s">
        <v>4</v>
      </c>
      <c r="F972" s="432" t="s">
        <v>5</v>
      </c>
      <c r="G972" s="448"/>
    </row>
    <row r="973" spans="1:20" ht="54.75" customHeight="1" x14ac:dyDescent="0.25">
      <c r="A973" s="435"/>
      <c r="B973" s="432"/>
      <c r="C973" s="293" t="s">
        <v>7</v>
      </c>
      <c r="D973" s="293" t="s">
        <v>8</v>
      </c>
      <c r="E973" s="447"/>
      <c r="F973" s="293" t="s">
        <v>7</v>
      </c>
      <c r="G973" s="293" t="s">
        <v>8</v>
      </c>
    </row>
    <row r="974" spans="1:20" ht="25.5" x14ac:dyDescent="0.25">
      <c r="A974" s="21" t="s">
        <v>1619</v>
      </c>
      <c r="B974" s="43" t="s">
        <v>1620</v>
      </c>
      <c r="C974" s="36">
        <f>SUM(C975:C986)-0.1</f>
        <v>285447.7</v>
      </c>
      <c r="D974" s="36">
        <f>SUM(D975:D986)-0.1</f>
        <v>285447.7</v>
      </c>
      <c r="E974" s="36">
        <f>SUM(E975:E986)+0.1</f>
        <v>254734.60000000003</v>
      </c>
      <c r="F974" s="36">
        <f>SUM(F975:F986)-0.1</f>
        <v>30713.000000000007</v>
      </c>
      <c r="G974" s="36">
        <f>SUM(G975:G986)-0.1</f>
        <v>30713.000000000007</v>
      </c>
    </row>
    <row r="975" spans="1:20" ht="25.5" x14ac:dyDescent="0.25">
      <c r="A975" s="21" t="s">
        <v>32</v>
      </c>
      <c r="B975" s="43" t="s">
        <v>1621</v>
      </c>
      <c r="C975" s="23">
        <v>118196</v>
      </c>
      <c r="D975" s="23">
        <v>118196</v>
      </c>
      <c r="E975" s="23">
        <v>106930.6</v>
      </c>
      <c r="F975" s="23">
        <v>11265.4</v>
      </c>
      <c r="G975" s="23">
        <v>11265.4</v>
      </c>
    </row>
    <row r="976" spans="1:20" x14ac:dyDescent="0.25">
      <c r="A976" s="21" t="s">
        <v>208</v>
      </c>
      <c r="B976" s="43" t="s">
        <v>1622</v>
      </c>
      <c r="C976" s="23">
        <v>11037.1</v>
      </c>
      <c r="D976" s="23">
        <v>11037.1</v>
      </c>
      <c r="E976" s="23">
        <v>10631.6</v>
      </c>
      <c r="F976" s="23">
        <v>405.5</v>
      </c>
      <c r="G976" s="23">
        <v>405.5</v>
      </c>
    </row>
    <row r="977" spans="1:7" ht="25.5" x14ac:dyDescent="0.25">
      <c r="A977" s="21" t="s">
        <v>881</v>
      </c>
      <c r="B977" s="43" t="s">
        <v>1623</v>
      </c>
      <c r="C977" s="23">
        <v>60994.5</v>
      </c>
      <c r="D977" s="23">
        <v>60994.5</v>
      </c>
      <c r="E977" s="23">
        <v>60989.8</v>
      </c>
      <c r="F977" s="23">
        <v>4.7</v>
      </c>
      <c r="G977" s="23">
        <v>4.7</v>
      </c>
    </row>
    <row r="978" spans="1:7" ht="25.5" x14ac:dyDescent="0.25">
      <c r="A978" s="21" t="s">
        <v>697</v>
      </c>
      <c r="B978" s="43" t="s">
        <v>1624</v>
      </c>
      <c r="C978" s="23">
        <v>10696.1</v>
      </c>
      <c r="D978" s="23">
        <v>10696.1</v>
      </c>
      <c r="E978" s="23">
        <v>10343.6</v>
      </c>
      <c r="F978" s="23">
        <v>352.5</v>
      </c>
      <c r="G978" s="23">
        <v>352.5</v>
      </c>
    </row>
    <row r="979" spans="1:7" ht="25.5" x14ac:dyDescent="0.25">
      <c r="A979" s="21" t="s">
        <v>55</v>
      </c>
      <c r="B979" s="43" t="s">
        <v>1625</v>
      </c>
      <c r="C979" s="23">
        <v>17921.400000000001</v>
      </c>
      <c r="D979" s="23">
        <v>17921.400000000001</v>
      </c>
      <c r="E979" s="23">
        <v>15937.5</v>
      </c>
      <c r="F979" s="23">
        <v>1983.9</v>
      </c>
      <c r="G979" s="23">
        <v>1983.9</v>
      </c>
    </row>
    <row r="980" spans="1:7" ht="25.5" x14ac:dyDescent="0.25">
      <c r="A980" s="21" t="s">
        <v>443</v>
      </c>
      <c r="B980" s="43" t="s">
        <v>1626</v>
      </c>
      <c r="C980" s="23">
        <v>8713.2999999999993</v>
      </c>
      <c r="D980" s="23">
        <v>8713.2999999999993</v>
      </c>
      <c r="E980" s="23">
        <v>8713.2999999999993</v>
      </c>
      <c r="F980" s="23">
        <v>0</v>
      </c>
      <c r="G980" s="23">
        <v>0</v>
      </c>
    </row>
    <row r="981" spans="1:7" ht="25.5" x14ac:dyDescent="0.25">
      <c r="A981" s="21" t="s">
        <v>775</v>
      </c>
      <c r="B981" s="43" t="s">
        <v>1627</v>
      </c>
      <c r="C981" s="23">
        <v>1646.7</v>
      </c>
      <c r="D981" s="23">
        <v>1646.7</v>
      </c>
      <c r="E981" s="23">
        <v>1601</v>
      </c>
      <c r="F981" s="23">
        <v>45.7</v>
      </c>
      <c r="G981" s="23">
        <v>45.7</v>
      </c>
    </row>
    <row r="982" spans="1:7" x14ac:dyDescent="0.25">
      <c r="A982" s="21" t="s">
        <v>481</v>
      </c>
      <c r="B982" s="43" t="s">
        <v>1628</v>
      </c>
      <c r="C982" s="23">
        <v>16018.8</v>
      </c>
      <c r="D982" s="23">
        <v>16018.8</v>
      </c>
      <c r="E982" s="23">
        <v>5499.7</v>
      </c>
      <c r="F982" s="23">
        <v>10519.1</v>
      </c>
      <c r="G982" s="23">
        <v>10519.1</v>
      </c>
    </row>
    <row r="983" spans="1:7" x14ac:dyDescent="0.25">
      <c r="A983" s="21" t="s">
        <v>185</v>
      </c>
      <c r="B983" s="43" t="s">
        <v>1629</v>
      </c>
      <c r="C983" s="23">
        <v>7390.8</v>
      </c>
      <c r="D983" s="23">
        <v>7390.8</v>
      </c>
      <c r="E983" s="23">
        <v>6565.6</v>
      </c>
      <c r="F983" s="23">
        <v>825.2</v>
      </c>
      <c r="G983" s="23">
        <v>825.2</v>
      </c>
    </row>
    <row r="984" spans="1:7" ht="25.5" x14ac:dyDescent="0.25">
      <c r="A984" s="21" t="s">
        <v>30</v>
      </c>
      <c r="B984" s="43" t="s">
        <v>1630</v>
      </c>
      <c r="C984" s="23">
        <v>32060.1</v>
      </c>
      <c r="D984" s="23">
        <v>32060.1</v>
      </c>
      <c r="E984" s="23">
        <v>26928.2</v>
      </c>
      <c r="F984" s="23">
        <v>5131.8</v>
      </c>
      <c r="G984" s="23">
        <v>5131.8</v>
      </c>
    </row>
    <row r="985" spans="1:7" ht="38.25" x14ac:dyDescent="0.25">
      <c r="A985" s="21" t="s">
        <v>271</v>
      </c>
      <c r="B985" s="43" t="s">
        <v>1631</v>
      </c>
      <c r="C985" s="23">
        <v>450</v>
      </c>
      <c r="D985" s="23">
        <v>450</v>
      </c>
      <c r="E985" s="23">
        <v>322.10000000000002</v>
      </c>
      <c r="F985" s="23">
        <v>127.9</v>
      </c>
      <c r="G985" s="23">
        <v>127.9</v>
      </c>
    </row>
    <row r="986" spans="1:7" ht="51" x14ac:dyDescent="0.25">
      <c r="A986" s="21" t="s">
        <v>289</v>
      </c>
      <c r="B986" s="43" t="s">
        <v>1632</v>
      </c>
      <c r="C986" s="23">
        <v>323</v>
      </c>
      <c r="D986" s="23">
        <v>323</v>
      </c>
      <c r="E986" s="23">
        <v>271.5</v>
      </c>
      <c r="F986" s="23">
        <v>51.4</v>
      </c>
      <c r="G986" s="23">
        <v>51.4</v>
      </c>
    </row>
    <row r="987" spans="1:7" ht="25.5" x14ac:dyDescent="0.25">
      <c r="A987" s="21" t="s">
        <v>1633</v>
      </c>
      <c r="B987" s="43" t="s">
        <v>1634</v>
      </c>
      <c r="C987" s="36">
        <f>SUM(C988:C990)</f>
        <v>43715.7</v>
      </c>
      <c r="D987" s="36">
        <f>SUM(D988:D990)</f>
        <v>43715.7</v>
      </c>
      <c r="E987" s="36">
        <f>SUM(E988:E990)</f>
        <v>41021.9</v>
      </c>
      <c r="F987" s="36">
        <f>SUM(F988:F990)</f>
        <v>2693.8</v>
      </c>
      <c r="G987" s="36">
        <f>SUM(G988:G990)</f>
        <v>2693.8</v>
      </c>
    </row>
    <row r="988" spans="1:7" ht="25.5" x14ac:dyDescent="0.25">
      <c r="A988" s="21" t="s">
        <v>177</v>
      </c>
      <c r="B988" s="43" t="s">
        <v>1635</v>
      </c>
      <c r="C988" s="23">
        <v>39218.699999999997</v>
      </c>
      <c r="D988" s="23">
        <v>39218.699999999997</v>
      </c>
      <c r="E988" s="23">
        <v>38457.9</v>
      </c>
      <c r="F988" s="23">
        <v>760.8</v>
      </c>
      <c r="G988" s="23">
        <v>760.8</v>
      </c>
    </row>
    <row r="989" spans="1:7" ht="25.5" x14ac:dyDescent="0.25">
      <c r="A989" s="21" t="s">
        <v>180</v>
      </c>
      <c r="B989" s="43" t="s">
        <v>1636</v>
      </c>
      <c r="C989" s="23">
        <v>2949</v>
      </c>
      <c r="D989" s="23">
        <v>2949</v>
      </c>
      <c r="E989" s="23">
        <v>1678</v>
      </c>
      <c r="F989" s="23">
        <v>1271</v>
      </c>
      <c r="G989" s="23">
        <v>1271</v>
      </c>
    </row>
    <row r="990" spans="1:7" x14ac:dyDescent="0.25">
      <c r="A990" s="21" t="s">
        <v>172</v>
      </c>
      <c r="B990" s="43" t="s">
        <v>1637</v>
      </c>
      <c r="C990" s="23">
        <v>1548</v>
      </c>
      <c r="D990" s="23">
        <v>1548</v>
      </c>
      <c r="E990" s="23">
        <v>886</v>
      </c>
      <c r="F990" s="23">
        <v>662</v>
      </c>
      <c r="G990" s="23">
        <v>662</v>
      </c>
    </row>
    <row r="991" spans="1:7" ht="38.25" x14ac:dyDescent="0.25">
      <c r="A991" s="37"/>
      <c r="B991" s="46" t="s">
        <v>1638</v>
      </c>
      <c r="C991" s="38">
        <f>C974+C987</f>
        <v>329163.40000000002</v>
      </c>
      <c r="D991" s="38">
        <f>D974+D987</f>
        <v>329163.40000000002</v>
      </c>
      <c r="E991" s="38">
        <f>E974+E987</f>
        <v>295756.50000000006</v>
      </c>
      <c r="F991" s="38">
        <f>F974+F987</f>
        <v>33406.80000000001</v>
      </c>
      <c r="G991" s="38">
        <f>G974+G987</f>
        <v>33406.80000000001</v>
      </c>
    </row>
  </sheetData>
  <mergeCells count="1270">
    <mergeCell ref="K634:K635"/>
    <mergeCell ref="K540:K542"/>
    <mergeCell ref="K543:K545"/>
    <mergeCell ref="J598:J600"/>
    <mergeCell ref="K598:K600"/>
    <mergeCell ref="L598:L600"/>
    <mergeCell ref="R598:R600"/>
    <mergeCell ref="S345:S346"/>
    <mergeCell ref="S598:S600"/>
    <mergeCell ref="S601:S603"/>
    <mergeCell ref="R601:R603"/>
    <mergeCell ref="M598:M600"/>
    <mergeCell ref="K636:K638"/>
    <mergeCell ref="L634:L635"/>
    <mergeCell ref="M634:M635"/>
    <mergeCell ref="M636:M638"/>
    <mergeCell ref="L636:L638"/>
    <mergeCell ref="R636:R638"/>
    <mergeCell ref="R634:R635"/>
    <mergeCell ref="S634:S635"/>
    <mergeCell ref="S636:S638"/>
    <mergeCell ref="J622:J623"/>
    <mergeCell ref="K622:K623"/>
    <mergeCell ref="L622:L623"/>
    <mergeCell ref="M622:M623"/>
    <mergeCell ref="R622:R623"/>
    <mergeCell ref="S622:S623"/>
    <mergeCell ref="J624:J626"/>
    <mergeCell ref="K624:K626"/>
    <mergeCell ref="L624:L626"/>
    <mergeCell ref="M624:M626"/>
    <mergeCell ref="R624:R626"/>
    <mergeCell ref="S624:S626"/>
    <mergeCell ref="S632:S633"/>
    <mergeCell ref="J634:J635"/>
    <mergeCell ref="L549:L551"/>
    <mergeCell ref="M549:M551"/>
    <mergeCell ref="L552:L554"/>
    <mergeCell ref="M552:M554"/>
    <mergeCell ref="J540:J542"/>
    <mergeCell ref="J543:J545"/>
    <mergeCell ref="K546:K548"/>
    <mergeCell ref="K549:K551"/>
    <mergeCell ref="J614:J616"/>
    <mergeCell ref="K614:K616"/>
    <mergeCell ref="L614:L616"/>
    <mergeCell ref="M614:M616"/>
    <mergeCell ref="R614:R616"/>
    <mergeCell ref="S614:S616"/>
    <mergeCell ref="J618:J620"/>
    <mergeCell ref="K618:K620"/>
    <mergeCell ref="L618:L620"/>
    <mergeCell ref="M618:M620"/>
    <mergeCell ref="R618:R620"/>
    <mergeCell ref="S618:S620"/>
    <mergeCell ref="J595:J597"/>
    <mergeCell ref="K595:K597"/>
    <mergeCell ref="L595:L597"/>
    <mergeCell ref="M595:M597"/>
    <mergeCell ref="R595:R597"/>
    <mergeCell ref="S595:S597"/>
    <mergeCell ref="J609:J612"/>
    <mergeCell ref="K609:K612"/>
    <mergeCell ref="L609:L612"/>
    <mergeCell ref="M609:M612"/>
    <mergeCell ref="R609:R612"/>
    <mergeCell ref="S609:S612"/>
    <mergeCell ref="L509:L511"/>
    <mergeCell ref="M509:M511"/>
    <mergeCell ref="M512:M514"/>
    <mergeCell ref="L512:L514"/>
    <mergeCell ref="K512:K514"/>
    <mergeCell ref="R504:R507"/>
    <mergeCell ref="S504:S507"/>
    <mergeCell ref="R509:R511"/>
    <mergeCell ref="R512:R514"/>
    <mergeCell ref="S509:S511"/>
    <mergeCell ref="S512:S514"/>
    <mergeCell ref="R528:R536"/>
    <mergeCell ref="S528:S536"/>
    <mergeCell ref="S540:S542"/>
    <mergeCell ref="S543:S545"/>
    <mergeCell ref="S546:S548"/>
    <mergeCell ref="S552:S554"/>
    <mergeCell ref="S549:S551"/>
    <mergeCell ref="K601:K603"/>
    <mergeCell ref="L601:L603"/>
    <mergeCell ref="M601:M603"/>
    <mergeCell ref="L517:L523"/>
    <mergeCell ref="M517:M523"/>
    <mergeCell ref="M568:M570"/>
    <mergeCell ref="L540:L542"/>
    <mergeCell ref="L543:L545"/>
    <mergeCell ref="M540:M542"/>
    <mergeCell ref="M543:M545"/>
    <mergeCell ref="M546:M548"/>
    <mergeCell ref="L546:L548"/>
    <mergeCell ref="R552:R554"/>
    <mergeCell ref="K381:K384"/>
    <mergeCell ref="L381:L384"/>
    <mergeCell ref="M381:M384"/>
    <mergeCell ref="J385:J387"/>
    <mergeCell ref="K385:K387"/>
    <mergeCell ref="L385:L387"/>
    <mergeCell ref="M385:M387"/>
    <mergeCell ref="R385:R387"/>
    <mergeCell ref="K426:K429"/>
    <mergeCell ref="L426:L429"/>
    <mergeCell ref="M426:M429"/>
    <mergeCell ref="R426:R429"/>
    <mergeCell ref="J432:J435"/>
    <mergeCell ref="K432:K435"/>
    <mergeCell ref="L432:L435"/>
    <mergeCell ref="M432:M435"/>
    <mergeCell ref="L530:L536"/>
    <mergeCell ref="M530:M536"/>
    <mergeCell ref="J504:J507"/>
    <mergeCell ref="J509:J511"/>
    <mergeCell ref="S385:S387"/>
    <mergeCell ref="R388:R390"/>
    <mergeCell ref="S388:S390"/>
    <mergeCell ref="J388:J390"/>
    <mergeCell ref="K388:K390"/>
    <mergeCell ref="L388:L390"/>
    <mergeCell ref="M388:M390"/>
    <mergeCell ref="J373:J375"/>
    <mergeCell ref="K373:K375"/>
    <mergeCell ref="L373:L375"/>
    <mergeCell ref="M373:M375"/>
    <mergeCell ref="R373:R375"/>
    <mergeCell ref="L338:L340"/>
    <mergeCell ref="M338:M340"/>
    <mergeCell ref="K341:K343"/>
    <mergeCell ref="L341:L343"/>
    <mergeCell ref="M341:M343"/>
    <mergeCell ref="S373:S375"/>
    <mergeCell ref="J338:J340"/>
    <mergeCell ref="J341:J343"/>
    <mergeCell ref="K338:K340"/>
    <mergeCell ref="J963:J966"/>
    <mergeCell ref="K963:K966"/>
    <mergeCell ref="L963:L966"/>
    <mergeCell ref="M963:M966"/>
    <mergeCell ref="S963:S966"/>
    <mergeCell ref="R945:R946"/>
    <mergeCell ref="S945:S946"/>
    <mergeCell ref="J948:J949"/>
    <mergeCell ref="K948:K949"/>
    <mergeCell ref="L948:L949"/>
    <mergeCell ref="M948:M949"/>
    <mergeCell ref="R948:R949"/>
    <mergeCell ref="S948:S949"/>
    <mergeCell ref="R954:R955"/>
    <mergeCell ref="S954:S955"/>
    <mergeCell ref="J919:J921"/>
    <mergeCell ref="J922:J923"/>
    <mergeCell ref="K919:K921"/>
    <mergeCell ref="L919:L921"/>
    <mergeCell ref="M919:M921"/>
    <mergeCell ref="K922:K923"/>
    <mergeCell ref="L922:L923"/>
    <mergeCell ref="M922:M923"/>
    <mergeCell ref="R922:R923"/>
    <mergeCell ref="S922:S923"/>
    <mergeCell ref="S958:S960"/>
    <mergeCell ref="R958:R960"/>
    <mergeCell ref="R931:R932"/>
    <mergeCell ref="S931:S932"/>
    <mergeCell ref="M913:M914"/>
    <mergeCell ref="R913:R914"/>
    <mergeCell ref="S913:S914"/>
    <mergeCell ref="R863:R865"/>
    <mergeCell ref="S863:S865"/>
    <mergeCell ref="K869:K871"/>
    <mergeCell ref="L869:L871"/>
    <mergeCell ref="M869:M871"/>
    <mergeCell ref="R866:R868"/>
    <mergeCell ref="S866:S868"/>
    <mergeCell ref="R869:R871"/>
    <mergeCell ref="S869:S871"/>
    <mergeCell ref="J863:J865"/>
    <mergeCell ref="J866:J868"/>
    <mergeCell ref="J869:J871"/>
    <mergeCell ref="J872:J874"/>
    <mergeCell ref="K866:K868"/>
    <mergeCell ref="L866:L868"/>
    <mergeCell ref="M866:M868"/>
    <mergeCell ref="M872:M874"/>
    <mergeCell ref="R904:R905"/>
    <mergeCell ref="R911:R912"/>
    <mergeCell ref="S911:S912"/>
    <mergeCell ref="J846:J849"/>
    <mergeCell ref="K846:K849"/>
    <mergeCell ref="L846:L849"/>
    <mergeCell ref="M846:M849"/>
    <mergeCell ref="R846:R849"/>
    <mergeCell ref="S846:S849"/>
    <mergeCell ref="J854:J855"/>
    <mergeCell ref="J856:J857"/>
    <mergeCell ref="K854:K855"/>
    <mergeCell ref="L854:L855"/>
    <mergeCell ref="M854:M855"/>
    <mergeCell ref="R854:R855"/>
    <mergeCell ref="S854:S855"/>
    <mergeCell ref="K856:K857"/>
    <mergeCell ref="L856:L857"/>
    <mergeCell ref="M856:M857"/>
    <mergeCell ref="R856:R857"/>
    <mergeCell ref="S856:S857"/>
    <mergeCell ref="S814:S816"/>
    <mergeCell ref="S818:S819"/>
    <mergeCell ref="S820:S822"/>
    <mergeCell ref="M740:M741"/>
    <mergeCell ref="R740:R741"/>
    <mergeCell ref="S740:S741"/>
    <mergeCell ref="J500:J503"/>
    <mergeCell ref="K500:K503"/>
    <mergeCell ref="L500:L503"/>
    <mergeCell ref="M500:M503"/>
    <mergeCell ref="R500:R503"/>
    <mergeCell ref="S500:S503"/>
    <mergeCell ref="M785:M787"/>
    <mergeCell ref="J776:J777"/>
    <mergeCell ref="K776:K777"/>
    <mergeCell ref="L776:L777"/>
    <mergeCell ref="M776:M777"/>
    <mergeCell ref="K778:K779"/>
    <mergeCell ref="L778:L779"/>
    <mergeCell ref="M778:M779"/>
    <mergeCell ref="R776:R777"/>
    <mergeCell ref="R780:R781"/>
    <mergeCell ref="L710:L713"/>
    <mergeCell ref="M710:M713"/>
    <mergeCell ref="J517:J523"/>
    <mergeCell ref="K517:K523"/>
    <mergeCell ref="L785:L787"/>
    <mergeCell ref="M780:M781"/>
    <mergeCell ref="M782:M784"/>
    <mergeCell ref="R807:R808"/>
    <mergeCell ref="S807:S808"/>
    <mergeCell ref="J814:J816"/>
    <mergeCell ref="L504:L507"/>
    <mergeCell ref="M504:M507"/>
    <mergeCell ref="K509:K511"/>
    <mergeCell ref="M491:M492"/>
    <mergeCell ref="R491:R492"/>
    <mergeCell ref="R540:R542"/>
    <mergeCell ref="R543:R545"/>
    <mergeCell ref="R546:R548"/>
    <mergeCell ref="R549:R551"/>
    <mergeCell ref="M818:M819"/>
    <mergeCell ref="L820:L822"/>
    <mergeCell ref="M820:M822"/>
    <mergeCell ref="R820:R822"/>
    <mergeCell ref="R818:R819"/>
    <mergeCell ref="R814:R816"/>
    <mergeCell ref="J818:J819"/>
    <mergeCell ref="J820:J822"/>
    <mergeCell ref="K820:K822"/>
    <mergeCell ref="K814:K816"/>
    <mergeCell ref="L814:L816"/>
    <mergeCell ref="M814:M816"/>
    <mergeCell ref="K818:K819"/>
    <mergeCell ref="L818:L819"/>
    <mergeCell ref="J568:J570"/>
    <mergeCell ref="K568:K570"/>
    <mergeCell ref="L568:L570"/>
    <mergeCell ref="R778:R779"/>
    <mergeCell ref="J778:J779"/>
    <mergeCell ref="J780:J781"/>
    <mergeCell ref="J782:J784"/>
    <mergeCell ref="J575:J579"/>
    <mergeCell ref="K575:K579"/>
    <mergeCell ref="J785:J787"/>
    <mergeCell ref="K780:K781"/>
    <mergeCell ref="K782:K784"/>
    <mergeCell ref="K785:K787"/>
    <mergeCell ref="L780:L781"/>
    <mergeCell ref="L782:L784"/>
    <mergeCell ref="J88:S88"/>
    <mergeCell ref="J171:S171"/>
    <mergeCell ref="J174:S174"/>
    <mergeCell ref="J176:S176"/>
    <mergeCell ref="R268:S268"/>
    <mergeCell ref="J269:S269"/>
    <mergeCell ref="L335:L337"/>
    <mergeCell ref="J229:S229"/>
    <mergeCell ref="R175:S175"/>
    <mergeCell ref="J195:J196"/>
    <mergeCell ref="K195:K196"/>
    <mergeCell ref="L195:L196"/>
    <mergeCell ref="M195:M196"/>
    <mergeCell ref="R195:R196"/>
    <mergeCell ref="S195:S196"/>
    <mergeCell ref="J291:J294"/>
    <mergeCell ref="K291:K294"/>
    <mergeCell ref="L291:L294"/>
    <mergeCell ref="M291:M294"/>
    <mergeCell ref="R291:R294"/>
    <mergeCell ref="J324:J326"/>
    <mergeCell ref="J530:J536"/>
    <mergeCell ref="S215:S217"/>
    <mergeCell ref="J662:J667"/>
    <mergeCell ref="K662:K667"/>
    <mergeCell ref="L662:L667"/>
    <mergeCell ref="A657:A660"/>
    <mergeCell ref="B657:B660"/>
    <mergeCell ref="J661:S661"/>
    <mergeCell ref="J770:J773"/>
    <mergeCell ref="A662:A667"/>
    <mergeCell ref="B662:B667"/>
    <mergeCell ref="A668:A672"/>
    <mergeCell ref="B668:B672"/>
    <mergeCell ref="S99:S101"/>
    <mergeCell ref="R99:R101"/>
    <mergeCell ref="M99:M101"/>
    <mergeCell ref="J99:J101"/>
    <mergeCell ref="S102:S103"/>
    <mergeCell ref="R102:R103"/>
    <mergeCell ref="J116:R116"/>
    <mergeCell ref="J419:J420"/>
    <mergeCell ref="K419:K420"/>
    <mergeCell ref="L419:L420"/>
    <mergeCell ref="M419:M420"/>
    <mergeCell ref="R419:R420"/>
    <mergeCell ref="J422:J423"/>
    <mergeCell ref="K422:K423"/>
    <mergeCell ref="L422:L423"/>
    <mergeCell ref="M422:M423"/>
    <mergeCell ref="R422:R423"/>
    <mergeCell ref="K491:K492"/>
    <mergeCell ref="L491:L492"/>
    <mergeCell ref="J601:J603"/>
    <mergeCell ref="K530:K536"/>
    <mergeCell ref="J426:J429"/>
    <mergeCell ref="J512:J514"/>
    <mergeCell ref="K504:K507"/>
    <mergeCell ref="S644:S645"/>
    <mergeCell ref="R649:R651"/>
    <mergeCell ref="R653:R654"/>
    <mergeCell ref="J649:J651"/>
    <mergeCell ref="K649:K651"/>
    <mergeCell ref="L649:L651"/>
    <mergeCell ref="M649:M651"/>
    <mergeCell ref="S649:S651"/>
    <mergeCell ref="R10:S10"/>
    <mergeCell ref="J310:S310"/>
    <mergeCell ref="R939:S940"/>
    <mergeCell ref="A688:A690"/>
    <mergeCell ref="A691:A692"/>
    <mergeCell ref="A694:A697"/>
    <mergeCell ref="B688:B690"/>
    <mergeCell ref="B691:B692"/>
    <mergeCell ref="B694:B697"/>
    <mergeCell ref="J698:S698"/>
    <mergeCell ref="J702:S702"/>
    <mergeCell ref="A699:A701"/>
    <mergeCell ref="B699:B701"/>
    <mergeCell ref="A673:A676"/>
    <mergeCell ref="B673:B676"/>
    <mergeCell ref="J677:S677"/>
    <mergeCell ref="A678:A680"/>
    <mergeCell ref="B678:B680"/>
    <mergeCell ref="A682:A683"/>
    <mergeCell ref="B682:B683"/>
    <mergeCell ref="A685:A687"/>
    <mergeCell ref="B685:B687"/>
    <mergeCell ref="A655:A656"/>
    <mergeCell ref="B655:B656"/>
    <mergeCell ref="M662:M667"/>
    <mergeCell ref="A627:A631"/>
    <mergeCell ref="B627:B631"/>
    <mergeCell ref="A632:A633"/>
    <mergeCell ref="B632:B633"/>
    <mergeCell ref="A634:A635"/>
    <mergeCell ref="A636:A638"/>
    <mergeCell ref="B634:B635"/>
    <mergeCell ref="B636:B638"/>
    <mergeCell ref="J640:S640"/>
    <mergeCell ref="J629:J631"/>
    <mergeCell ref="K629:K631"/>
    <mergeCell ref="L629:L631"/>
    <mergeCell ref="M629:M631"/>
    <mergeCell ref="R629:R631"/>
    <mergeCell ref="S629:S631"/>
    <mergeCell ref="J632:J633"/>
    <mergeCell ref="K632:K633"/>
    <mergeCell ref="L632:L633"/>
    <mergeCell ref="M632:M633"/>
    <mergeCell ref="R632:R633"/>
    <mergeCell ref="J642:S642"/>
    <mergeCell ref="A643:A645"/>
    <mergeCell ref="B643:B645"/>
    <mergeCell ref="A646:A648"/>
    <mergeCell ref="B646:B648"/>
    <mergeCell ref="A649:A651"/>
    <mergeCell ref="J636:J638"/>
    <mergeCell ref="A652:A654"/>
    <mergeCell ref="B649:B651"/>
    <mergeCell ref="B652:B654"/>
    <mergeCell ref="R644:R645"/>
    <mergeCell ref="A609:A612"/>
    <mergeCell ref="B609:B612"/>
    <mergeCell ref="A614:A616"/>
    <mergeCell ref="B614:B616"/>
    <mergeCell ref="A617:A620"/>
    <mergeCell ref="B617:B620"/>
    <mergeCell ref="A621:A623"/>
    <mergeCell ref="B621:B623"/>
    <mergeCell ref="A624:A626"/>
    <mergeCell ref="B624:B626"/>
    <mergeCell ref="A595:A597"/>
    <mergeCell ref="B595:B597"/>
    <mergeCell ref="A598:A600"/>
    <mergeCell ref="B598:B600"/>
    <mergeCell ref="A601:A603"/>
    <mergeCell ref="B601:B603"/>
    <mergeCell ref="A604:A605"/>
    <mergeCell ref="B604:B605"/>
    <mergeCell ref="A606:A607"/>
    <mergeCell ref="B606:B607"/>
    <mergeCell ref="A484:A492"/>
    <mergeCell ref="B484:B492"/>
    <mergeCell ref="A493:A494"/>
    <mergeCell ref="B493:B494"/>
    <mergeCell ref="A498:A499"/>
    <mergeCell ref="B498:B499"/>
    <mergeCell ref="B451:B452"/>
    <mergeCell ref="J454:S454"/>
    <mergeCell ref="A432:A435"/>
    <mergeCell ref="B432:B435"/>
    <mergeCell ref="A438:A441"/>
    <mergeCell ref="B438:B441"/>
    <mergeCell ref="A442:A444"/>
    <mergeCell ref="B442:B444"/>
    <mergeCell ref="A446:A449"/>
    <mergeCell ref="B446:B449"/>
    <mergeCell ref="J450:S450"/>
    <mergeCell ref="R432:R435"/>
    <mergeCell ref="S432:S435"/>
    <mergeCell ref="J443:J444"/>
    <mergeCell ref="K443:K444"/>
    <mergeCell ref="L443:L444"/>
    <mergeCell ref="M443:M444"/>
    <mergeCell ref="R443:R444"/>
    <mergeCell ref="S443:S444"/>
    <mergeCell ref="J447:J449"/>
    <mergeCell ref="K447:K449"/>
    <mergeCell ref="L447:L449"/>
    <mergeCell ref="M447:M449"/>
    <mergeCell ref="R447:R449"/>
    <mergeCell ref="S447:S449"/>
    <mergeCell ref="J491:J492"/>
    <mergeCell ref="A379:A380"/>
    <mergeCell ref="B379:B380"/>
    <mergeCell ref="A381:A384"/>
    <mergeCell ref="B381:B384"/>
    <mergeCell ref="A385:A387"/>
    <mergeCell ref="B385:B387"/>
    <mergeCell ref="A388:A390"/>
    <mergeCell ref="B388:B390"/>
    <mergeCell ref="A414:A417"/>
    <mergeCell ref="B414:B417"/>
    <mergeCell ref="A411:A413"/>
    <mergeCell ref="B411:B413"/>
    <mergeCell ref="A409:A410"/>
    <mergeCell ref="B409:B410"/>
    <mergeCell ref="A418:A420"/>
    <mergeCell ref="B418:B420"/>
    <mergeCell ref="A421:A423"/>
    <mergeCell ref="A365:A367"/>
    <mergeCell ref="B365:B367"/>
    <mergeCell ref="A824:A826"/>
    <mergeCell ref="B824:B826"/>
    <mergeCell ref="J823:S823"/>
    <mergeCell ref="B421:B423"/>
    <mergeCell ref="A424:A429"/>
    <mergeCell ref="B424:B429"/>
    <mergeCell ref="J431:S431"/>
    <mergeCell ref="A404:A408"/>
    <mergeCell ref="B404:B408"/>
    <mergeCell ref="J392:S392"/>
    <mergeCell ref="A393:A394"/>
    <mergeCell ref="B393:B394"/>
    <mergeCell ref="J395:S395"/>
    <mergeCell ref="A396:A403"/>
    <mergeCell ref="B396:B403"/>
    <mergeCell ref="A451:A452"/>
    <mergeCell ref="A455:A456"/>
    <mergeCell ref="B455:B456"/>
    <mergeCell ref="A458:A465"/>
    <mergeCell ref="B458:B465"/>
    <mergeCell ref="A467:A470"/>
    <mergeCell ref="B467:B470"/>
    <mergeCell ref="A471:A480"/>
    <mergeCell ref="B471:B480"/>
    <mergeCell ref="J368:S368"/>
    <mergeCell ref="A369:A370"/>
    <mergeCell ref="B369:B370"/>
    <mergeCell ref="A373:A375"/>
    <mergeCell ref="B373:B375"/>
    <mergeCell ref="J377:S377"/>
    <mergeCell ref="A345:A346"/>
    <mergeCell ref="B345:B346"/>
    <mergeCell ref="A320:A321"/>
    <mergeCell ref="B320:B321"/>
    <mergeCell ref="J323:S323"/>
    <mergeCell ref="A324:A326"/>
    <mergeCell ref="B324:B326"/>
    <mergeCell ref="A327:A331"/>
    <mergeCell ref="B327:B331"/>
    <mergeCell ref="S324:S326"/>
    <mergeCell ref="R324:R326"/>
    <mergeCell ref="A348:A356"/>
    <mergeCell ref="B348:B356"/>
    <mergeCell ref="J358:S358"/>
    <mergeCell ref="J360:S360"/>
    <mergeCell ref="A361:A363"/>
    <mergeCell ref="B361:B363"/>
    <mergeCell ref="R338:R340"/>
    <mergeCell ref="S338:S340"/>
    <mergeCell ref="R341:R343"/>
    <mergeCell ref="S341:S343"/>
    <mergeCell ref="R359:S359"/>
    <mergeCell ref="J361:J363"/>
    <mergeCell ref="K361:K363"/>
    <mergeCell ref="L361:L363"/>
    <mergeCell ref="M361:M363"/>
    <mergeCell ref="R361:R363"/>
    <mergeCell ref="S361:S363"/>
    <mergeCell ref="J333:J334"/>
    <mergeCell ref="K333:K334"/>
    <mergeCell ref="L333:L334"/>
    <mergeCell ref="M333:M334"/>
    <mergeCell ref="A335:A337"/>
    <mergeCell ref="B335:B337"/>
    <mergeCell ref="A338:A340"/>
    <mergeCell ref="B338:B340"/>
    <mergeCell ref="A341:A343"/>
    <mergeCell ref="B341:B343"/>
    <mergeCell ref="R333:R334"/>
    <mergeCell ref="R311:S314"/>
    <mergeCell ref="R281:R283"/>
    <mergeCell ref="S281:S283"/>
    <mergeCell ref="J285:J288"/>
    <mergeCell ref="K285:K288"/>
    <mergeCell ref="L285:L288"/>
    <mergeCell ref="S248:S251"/>
    <mergeCell ref="S261:S263"/>
    <mergeCell ref="R261:R263"/>
    <mergeCell ref="S264:S267"/>
    <mergeCell ref="R264:R267"/>
    <mergeCell ref="J261:J263"/>
    <mergeCell ref="K261:K263"/>
    <mergeCell ref="L261:L263"/>
    <mergeCell ref="S333:S334"/>
    <mergeCell ref="J335:J337"/>
    <mergeCell ref="K335:K337"/>
    <mergeCell ref="K307:K309"/>
    <mergeCell ref="L307:L309"/>
    <mergeCell ref="M307:M309"/>
    <mergeCell ref="M335:M337"/>
    <mergeCell ref="R335:R337"/>
    <mergeCell ref="S335:S337"/>
    <mergeCell ref="L324:L326"/>
    <mergeCell ref="K324:K326"/>
    <mergeCell ref="A256:A257"/>
    <mergeCell ref="B256:B257"/>
    <mergeCell ref="A258:A260"/>
    <mergeCell ref="B258:B260"/>
    <mergeCell ref="A261:A263"/>
    <mergeCell ref="B261:B263"/>
    <mergeCell ref="A311:A314"/>
    <mergeCell ref="J241:J243"/>
    <mergeCell ref="K241:K243"/>
    <mergeCell ref="L241:L243"/>
    <mergeCell ref="M241:M243"/>
    <mergeCell ref="R241:R243"/>
    <mergeCell ref="J244:J247"/>
    <mergeCell ref="K244:K247"/>
    <mergeCell ref="L244:L247"/>
    <mergeCell ref="R258:R260"/>
    <mergeCell ref="A333:A334"/>
    <mergeCell ref="B333:B334"/>
    <mergeCell ref="M324:M326"/>
    <mergeCell ref="K222:K223"/>
    <mergeCell ref="L222:L223"/>
    <mergeCell ref="M222:M223"/>
    <mergeCell ref="R222:R223"/>
    <mergeCell ref="S222:S223"/>
    <mergeCell ref="J226:J228"/>
    <mergeCell ref="K226:K228"/>
    <mergeCell ref="L226:L228"/>
    <mergeCell ref="M226:M228"/>
    <mergeCell ref="A241:A243"/>
    <mergeCell ref="B241:B243"/>
    <mergeCell ref="A244:A247"/>
    <mergeCell ref="B244:B247"/>
    <mergeCell ref="A248:A251"/>
    <mergeCell ref="B248:B251"/>
    <mergeCell ref="J240:S240"/>
    <mergeCell ref="A253:A255"/>
    <mergeCell ref="B253:B255"/>
    <mergeCell ref="R244:R247"/>
    <mergeCell ref="M248:M251"/>
    <mergeCell ref="R248:R251"/>
    <mergeCell ref="L248:L251"/>
    <mergeCell ref="K248:K251"/>
    <mergeCell ref="J248:J251"/>
    <mergeCell ref="J253:J255"/>
    <mergeCell ref="K253:K255"/>
    <mergeCell ref="L253:L255"/>
    <mergeCell ref="M253:M255"/>
    <mergeCell ref="R253:R255"/>
    <mergeCell ref="S253:S255"/>
    <mergeCell ref="A117:A119"/>
    <mergeCell ref="B117:B119"/>
    <mergeCell ref="J123:S123"/>
    <mergeCell ref="J126:S126"/>
    <mergeCell ref="R127:S127"/>
    <mergeCell ref="A144:A145"/>
    <mergeCell ref="B144:B145"/>
    <mergeCell ref="J143:S143"/>
    <mergeCell ref="J128:S128"/>
    <mergeCell ref="A132:A134"/>
    <mergeCell ref="B132:B134"/>
    <mergeCell ref="J138:J139"/>
    <mergeCell ref="K138:K139"/>
    <mergeCell ref="L138:L139"/>
    <mergeCell ref="M138:M139"/>
    <mergeCell ref="R138:R139"/>
    <mergeCell ref="S138:S139"/>
    <mergeCell ref="J141:J142"/>
    <mergeCell ref="K141:K142"/>
    <mergeCell ref="L141:L142"/>
    <mergeCell ref="A137:A139"/>
    <mergeCell ref="B137:B139"/>
    <mergeCell ref="A140:A142"/>
    <mergeCell ref="B140:B142"/>
    <mergeCell ref="A168:A170"/>
    <mergeCell ref="B168:B170"/>
    <mergeCell ref="A156:A159"/>
    <mergeCell ref="B156:B159"/>
    <mergeCell ref="A160:A163"/>
    <mergeCell ref="B160:B163"/>
    <mergeCell ref="A135:A136"/>
    <mergeCell ref="B135:B136"/>
    <mergeCell ref="J215:J217"/>
    <mergeCell ref="K215:K217"/>
    <mergeCell ref="L215:L217"/>
    <mergeCell ref="M215:M217"/>
    <mergeCell ref="J234:J235"/>
    <mergeCell ref="S236:S239"/>
    <mergeCell ref="R236:R239"/>
    <mergeCell ref="S241:S243"/>
    <mergeCell ref="S244:S247"/>
    <mergeCell ref="R226:R228"/>
    <mergeCell ref="S226:S228"/>
    <mergeCell ref="J231:J232"/>
    <mergeCell ref="K231:K232"/>
    <mergeCell ref="L231:L232"/>
    <mergeCell ref="M231:M232"/>
    <mergeCell ref="K234:K235"/>
    <mergeCell ref="L234:L235"/>
    <mergeCell ref="M234:M235"/>
    <mergeCell ref="J236:J239"/>
    <mergeCell ref="K236:K239"/>
    <mergeCell ref="A146:A150"/>
    <mergeCell ref="B146:B150"/>
    <mergeCell ref="A152:A155"/>
    <mergeCell ref="B152:B155"/>
    <mergeCell ref="A958:A960"/>
    <mergeCell ref="B958:B960"/>
    <mergeCell ref="A939:A940"/>
    <mergeCell ref="B939:B940"/>
    <mergeCell ref="A945:A946"/>
    <mergeCell ref="B945:B946"/>
    <mergeCell ref="A210:A211"/>
    <mergeCell ref="B210:B211"/>
    <mergeCell ref="A212:A214"/>
    <mergeCell ref="B212:B214"/>
    <mergeCell ref="A215:A217"/>
    <mergeCell ref="B215:B217"/>
    <mergeCell ref="A218:A219"/>
    <mergeCell ref="B218:B219"/>
    <mergeCell ref="A221:A223"/>
    <mergeCell ref="B221:B223"/>
    <mergeCell ref="A226:A228"/>
    <mergeCell ref="B226:B228"/>
    <mergeCell ref="A230:A232"/>
    <mergeCell ref="B230:B232"/>
    <mergeCell ref="A233:A235"/>
    <mergeCell ref="B233:B235"/>
    <mergeCell ref="A236:A239"/>
    <mergeCell ref="B236:B239"/>
    <mergeCell ref="A317:A319"/>
    <mergeCell ref="B317:B319"/>
    <mergeCell ref="A264:A267"/>
    <mergeCell ref="B264:B267"/>
    <mergeCell ref="A270:A271"/>
    <mergeCell ref="B270:B271"/>
    <mergeCell ref="A273:A278"/>
    <mergeCell ref="B273:B278"/>
    <mergeCell ref="A106:A109"/>
    <mergeCell ref="B106:B109"/>
    <mergeCell ref="A112:A115"/>
    <mergeCell ref="B112:B115"/>
    <mergeCell ref="J48:S48"/>
    <mergeCell ref="A55:A57"/>
    <mergeCell ref="A58:A60"/>
    <mergeCell ref="B55:B57"/>
    <mergeCell ref="B58:B60"/>
    <mergeCell ref="A69:A71"/>
    <mergeCell ref="B69:B71"/>
    <mergeCell ref="A72:A85"/>
    <mergeCell ref="B72:B85"/>
    <mergeCell ref="A89:A98"/>
    <mergeCell ref="B89:B98"/>
    <mergeCell ref="A99:A101"/>
    <mergeCell ref="B99:B101"/>
    <mergeCell ref="A102:A103"/>
    <mergeCell ref="B102:B103"/>
    <mergeCell ref="R112:S115"/>
    <mergeCell ref="J58:J60"/>
    <mergeCell ref="K58:K60"/>
    <mergeCell ref="L58:L60"/>
    <mergeCell ref="K99:K101"/>
    <mergeCell ref="L99:L101"/>
    <mergeCell ref="J102:J103"/>
    <mergeCell ref="K102:K103"/>
    <mergeCell ref="L102:L103"/>
    <mergeCell ref="M102:M103"/>
    <mergeCell ref="J104:J105"/>
    <mergeCell ref="K104:K105"/>
    <mergeCell ref="L104:L105"/>
    <mergeCell ref="A961:A966"/>
    <mergeCell ref="B961:B966"/>
    <mergeCell ref="A12:A14"/>
    <mergeCell ref="B12:B14"/>
    <mergeCell ref="J9:S9"/>
    <mergeCell ref="J11:S11"/>
    <mergeCell ref="A15:A25"/>
    <mergeCell ref="B15:B25"/>
    <mergeCell ref="A26:A27"/>
    <mergeCell ref="B26:B27"/>
    <mergeCell ref="A31:A33"/>
    <mergeCell ref="B31:B33"/>
    <mergeCell ref="J30:S30"/>
    <mergeCell ref="A35:A37"/>
    <mergeCell ref="J54:S54"/>
    <mergeCell ref="A205:A206"/>
    <mergeCell ref="B205:B206"/>
    <mergeCell ref="A208:A209"/>
    <mergeCell ref="B208:B209"/>
    <mergeCell ref="J61:S61"/>
    <mergeCell ref="A62:A64"/>
    <mergeCell ref="B62:B64"/>
    <mergeCell ref="R62:S64"/>
    <mergeCell ref="J65:S65"/>
    <mergeCell ref="J297:S297"/>
    <mergeCell ref="A307:A309"/>
    <mergeCell ref="B298:B306"/>
    <mergeCell ref="B307:B309"/>
    <mergeCell ref="S285:S288"/>
    <mergeCell ref="R307:R309"/>
    <mergeCell ref="S307:S309"/>
    <mergeCell ref="J307:J309"/>
    <mergeCell ref="A972:A973"/>
    <mergeCell ref="B972:B973"/>
    <mergeCell ref="E972:E973"/>
    <mergeCell ref="C972:D972"/>
    <mergeCell ref="F972:G972"/>
    <mergeCell ref="B35:B37"/>
    <mergeCell ref="A38:A43"/>
    <mergeCell ref="B38:B43"/>
    <mergeCell ref="A44:A46"/>
    <mergeCell ref="B44:B46"/>
    <mergeCell ref="A49:A52"/>
    <mergeCell ref="B49:B52"/>
    <mergeCell ref="A177:A179"/>
    <mergeCell ref="B177:B179"/>
    <mergeCell ref="A182:A185"/>
    <mergeCell ref="B182:B185"/>
    <mergeCell ref="A186:A188"/>
    <mergeCell ref="B186:B188"/>
    <mergeCell ref="A190:A193"/>
    <mergeCell ref="B190:B193"/>
    <mergeCell ref="A194:A196"/>
    <mergeCell ref="B194:B196"/>
    <mergeCell ref="A198:A200"/>
    <mergeCell ref="B198:B200"/>
    <mergeCell ref="B311:B314"/>
    <mergeCell ref="A281:A283"/>
    <mergeCell ref="B281:B283"/>
    <mergeCell ref="A285:A288"/>
    <mergeCell ref="B285:B288"/>
    <mergeCell ref="A291:A294"/>
    <mergeCell ref="B291:B294"/>
    <mergeCell ref="A298:A306"/>
    <mergeCell ref="A4:S4"/>
    <mergeCell ref="A6:A8"/>
    <mergeCell ref="B6:B8"/>
    <mergeCell ref="C6:C8"/>
    <mergeCell ref="D7:D8"/>
    <mergeCell ref="E7:E8"/>
    <mergeCell ref="F6:F8"/>
    <mergeCell ref="G7:G8"/>
    <mergeCell ref="H7:H8"/>
    <mergeCell ref="J7:J8"/>
    <mergeCell ref="K7:K8"/>
    <mergeCell ref="R7:R8"/>
    <mergeCell ref="S7:S8"/>
    <mergeCell ref="D6:E6"/>
    <mergeCell ref="G6:H6"/>
    <mergeCell ref="J6:S6"/>
    <mergeCell ref="I6:I8"/>
    <mergeCell ref="L7:M7"/>
    <mergeCell ref="N7:O7"/>
    <mergeCell ref="P7:Q7"/>
    <mergeCell ref="A500:A503"/>
    <mergeCell ref="B500:B503"/>
    <mergeCell ref="A504:A507"/>
    <mergeCell ref="B504:B507"/>
    <mergeCell ref="A515:A523"/>
    <mergeCell ref="B515:B523"/>
    <mergeCell ref="A509:A511"/>
    <mergeCell ref="B509:B511"/>
    <mergeCell ref="A512:A514"/>
    <mergeCell ref="B512:B514"/>
    <mergeCell ref="A524:A526"/>
    <mergeCell ref="B524:B526"/>
    <mergeCell ref="A528:A536"/>
    <mergeCell ref="B528:B536"/>
    <mergeCell ref="A540:A542"/>
    <mergeCell ref="B540:B542"/>
    <mergeCell ref="A543:A545"/>
    <mergeCell ref="B543:B545"/>
    <mergeCell ref="A546:A548"/>
    <mergeCell ref="B546:B548"/>
    <mergeCell ref="A549:A551"/>
    <mergeCell ref="B549:B551"/>
    <mergeCell ref="A552:A554"/>
    <mergeCell ref="B552:B554"/>
    <mergeCell ref="A557:A560"/>
    <mergeCell ref="B557:B560"/>
    <mergeCell ref="A562:A564"/>
    <mergeCell ref="B562:B564"/>
    <mergeCell ref="A565:A567"/>
    <mergeCell ref="B565:B567"/>
    <mergeCell ref="A568:A570"/>
    <mergeCell ref="B568:B570"/>
    <mergeCell ref="S565:S567"/>
    <mergeCell ref="R565:R567"/>
    <mergeCell ref="J562:J564"/>
    <mergeCell ref="S568:S570"/>
    <mergeCell ref="R568:R570"/>
    <mergeCell ref="R562:R564"/>
    <mergeCell ref="S562:S564"/>
    <mergeCell ref="J558:J560"/>
    <mergeCell ref="K558:K560"/>
    <mergeCell ref="L558:L560"/>
    <mergeCell ref="M558:M560"/>
    <mergeCell ref="K562:K564"/>
    <mergeCell ref="L562:L564"/>
    <mergeCell ref="M562:M564"/>
    <mergeCell ref="K552:K554"/>
    <mergeCell ref="J546:J548"/>
    <mergeCell ref="J549:J551"/>
    <mergeCell ref="J552:J554"/>
    <mergeCell ref="A575:A579"/>
    <mergeCell ref="B575:B579"/>
    <mergeCell ref="A582:A584"/>
    <mergeCell ref="B582:B584"/>
    <mergeCell ref="A585:A587"/>
    <mergeCell ref="B585:B587"/>
    <mergeCell ref="A588:A594"/>
    <mergeCell ref="B588:B594"/>
    <mergeCell ref="J582:J584"/>
    <mergeCell ref="R582:R584"/>
    <mergeCell ref="S582:S584"/>
    <mergeCell ref="J586:J587"/>
    <mergeCell ref="R586:R587"/>
    <mergeCell ref="S586:S587"/>
    <mergeCell ref="S575:S579"/>
    <mergeCell ref="K582:K584"/>
    <mergeCell ref="L582:L584"/>
    <mergeCell ref="M582:M584"/>
    <mergeCell ref="K586:K587"/>
    <mergeCell ref="L586:L587"/>
    <mergeCell ref="M586:M587"/>
    <mergeCell ref="L575:L579"/>
    <mergeCell ref="M575:M579"/>
    <mergeCell ref="R575:R579"/>
    <mergeCell ref="A703:A708"/>
    <mergeCell ref="B703:B708"/>
    <mergeCell ref="A710:A713"/>
    <mergeCell ref="B710:B713"/>
    <mergeCell ref="A714:A718"/>
    <mergeCell ref="B714:B718"/>
    <mergeCell ref="A719:A727"/>
    <mergeCell ref="B719:B727"/>
    <mergeCell ref="J754:S754"/>
    <mergeCell ref="A750:A753"/>
    <mergeCell ref="B750:B753"/>
    <mergeCell ref="A747:A749"/>
    <mergeCell ref="B747:B749"/>
    <mergeCell ref="A731:A733"/>
    <mergeCell ref="B731:B733"/>
    <mergeCell ref="A734:A736"/>
    <mergeCell ref="B734:B736"/>
    <mergeCell ref="A737:A738"/>
    <mergeCell ref="B737:B738"/>
    <mergeCell ref="A739:A741"/>
    <mergeCell ref="B739:B741"/>
    <mergeCell ref="A743:A746"/>
    <mergeCell ref="B743:B746"/>
    <mergeCell ref="A728:A730"/>
    <mergeCell ref="B728:B730"/>
    <mergeCell ref="R710:R713"/>
    <mergeCell ref="S710:S713"/>
    <mergeCell ref="J732:J733"/>
    <mergeCell ref="K732:K733"/>
    <mergeCell ref="L732:L733"/>
    <mergeCell ref="M732:M733"/>
    <mergeCell ref="R732:R733"/>
    <mergeCell ref="A757:A760"/>
    <mergeCell ref="B757:B760"/>
    <mergeCell ref="J767:S767"/>
    <mergeCell ref="A763:A765"/>
    <mergeCell ref="B763:B765"/>
    <mergeCell ref="A768:A769"/>
    <mergeCell ref="B768:B769"/>
    <mergeCell ref="A770:A773"/>
    <mergeCell ref="B770:B773"/>
    <mergeCell ref="J747:J749"/>
    <mergeCell ref="K747:K749"/>
    <mergeCell ref="L747:L749"/>
    <mergeCell ref="M747:M749"/>
    <mergeCell ref="R747:R749"/>
    <mergeCell ref="S747:S749"/>
    <mergeCell ref="J758:J760"/>
    <mergeCell ref="K758:K760"/>
    <mergeCell ref="L758:L760"/>
    <mergeCell ref="M758:M760"/>
    <mergeCell ref="R758:R760"/>
    <mergeCell ref="S758:S760"/>
    <mergeCell ref="J763:J765"/>
    <mergeCell ref="K763:K765"/>
    <mergeCell ref="S770:S773"/>
    <mergeCell ref="L763:L765"/>
    <mergeCell ref="M763:M765"/>
    <mergeCell ref="R763:R765"/>
    <mergeCell ref="S763:S765"/>
    <mergeCell ref="K770:K773"/>
    <mergeCell ref="L770:L773"/>
    <mergeCell ref="M770:M773"/>
    <mergeCell ref="R770:R773"/>
    <mergeCell ref="A774:A775"/>
    <mergeCell ref="B774:B775"/>
    <mergeCell ref="A776:A777"/>
    <mergeCell ref="B776:B777"/>
    <mergeCell ref="A778:A779"/>
    <mergeCell ref="B778:B779"/>
    <mergeCell ref="A780:A781"/>
    <mergeCell ref="B780:B781"/>
    <mergeCell ref="A782:A784"/>
    <mergeCell ref="B782:B784"/>
    <mergeCell ref="A785:A787"/>
    <mergeCell ref="B785:B787"/>
    <mergeCell ref="A792:A793"/>
    <mergeCell ref="B792:B793"/>
    <mergeCell ref="A807:A808"/>
    <mergeCell ref="B807:B808"/>
    <mergeCell ref="A814:A816"/>
    <mergeCell ref="B814:B816"/>
    <mergeCell ref="A818:A819"/>
    <mergeCell ref="B818:B819"/>
    <mergeCell ref="A820:A822"/>
    <mergeCell ref="B820:B822"/>
    <mergeCell ref="A828:A838"/>
    <mergeCell ref="B828:B838"/>
    <mergeCell ref="A839:A842"/>
    <mergeCell ref="B839:B842"/>
    <mergeCell ref="A846:A849"/>
    <mergeCell ref="B846:B849"/>
    <mergeCell ref="A850:A852"/>
    <mergeCell ref="B850:B852"/>
    <mergeCell ref="A853:A855"/>
    <mergeCell ref="B853:B855"/>
    <mergeCell ref="A856:A857"/>
    <mergeCell ref="B856:B857"/>
    <mergeCell ref="A858:A860"/>
    <mergeCell ref="B858:B860"/>
    <mergeCell ref="A863:A865"/>
    <mergeCell ref="B863:B865"/>
    <mergeCell ref="A866:A868"/>
    <mergeCell ref="B866:B868"/>
    <mergeCell ref="A869:A871"/>
    <mergeCell ref="B869:B871"/>
    <mergeCell ref="A872:A874"/>
    <mergeCell ref="B872:B874"/>
    <mergeCell ref="A876:A878"/>
    <mergeCell ref="B876:B878"/>
    <mergeCell ref="A879:A880"/>
    <mergeCell ref="B879:B880"/>
    <mergeCell ref="J881:S881"/>
    <mergeCell ref="R872:R874"/>
    <mergeCell ref="S872:S874"/>
    <mergeCell ref="J877:J878"/>
    <mergeCell ref="K877:K878"/>
    <mergeCell ref="L877:L878"/>
    <mergeCell ref="M877:M878"/>
    <mergeCell ref="R877:R878"/>
    <mergeCell ref="S877:S878"/>
    <mergeCell ref="J879:J880"/>
    <mergeCell ref="K879:K880"/>
    <mergeCell ref="L879:L880"/>
    <mergeCell ref="M879:M880"/>
    <mergeCell ref="R879:R880"/>
    <mergeCell ref="S879:S880"/>
    <mergeCell ref="K863:K865"/>
    <mergeCell ref="L863:L865"/>
    <mergeCell ref="M863:M865"/>
    <mergeCell ref="K872:K874"/>
    <mergeCell ref="L872:L874"/>
    <mergeCell ref="B913:B914"/>
    <mergeCell ref="B916:B917"/>
    <mergeCell ref="J918:S918"/>
    <mergeCell ref="A919:A921"/>
    <mergeCell ref="B919:B921"/>
    <mergeCell ref="A896:A898"/>
    <mergeCell ref="A899:A901"/>
    <mergeCell ref="A902:A903"/>
    <mergeCell ref="A904:A905"/>
    <mergeCell ref="B896:B898"/>
    <mergeCell ref="B899:B901"/>
    <mergeCell ref="B902:B903"/>
    <mergeCell ref="B904:B905"/>
    <mergeCell ref="J909:S909"/>
    <mergeCell ref="J896:J898"/>
    <mergeCell ref="K896:K898"/>
    <mergeCell ref="L896:L898"/>
    <mergeCell ref="M896:M898"/>
    <mergeCell ref="R896:R898"/>
    <mergeCell ref="S896:S898"/>
    <mergeCell ref="S899:S901"/>
    <mergeCell ref="R899:R901"/>
    <mergeCell ref="M899:M901"/>
    <mergeCell ref="L899:L901"/>
    <mergeCell ref="R919:R921"/>
    <mergeCell ref="S919:S921"/>
    <mergeCell ref="K899:K901"/>
    <mergeCell ref="J899:J901"/>
    <mergeCell ref="S904:S905"/>
    <mergeCell ref="J913:J914"/>
    <mergeCell ref="K913:K914"/>
    <mergeCell ref="L913:L914"/>
    <mergeCell ref="A951:A952"/>
    <mergeCell ref="B951:B952"/>
    <mergeCell ref="A954:A955"/>
    <mergeCell ref="B954:B955"/>
    <mergeCell ref="J151:S151"/>
    <mergeCell ref="A172:A173"/>
    <mergeCell ref="B172:B173"/>
    <mergeCell ref="R393:S394"/>
    <mergeCell ref="R455:S456"/>
    <mergeCell ref="R699:S701"/>
    <mergeCell ref="A922:A923"/>
    <mergeCell ref="B922:B923"/>
    <mergeCell ref="A931:A932"/>
    <mergeCell ref="B931:B932"/>
    <mergeCell ref="J935:S935"/>
    <mergeCell ref="J941:S941"/>
    <mergeCell ref="A948:A949"/>
    <mergeCell ref="B948:B949"/>
    <mergeCell ref="A911:A912"/>
    <mergeCell ref="A913:A914"/>
    <mergeCell ref="A916:A917"/>
    <mergeCell ref="B911:B912"/>
    <mergeCell ref="R641:S641"/>
    <mergeCell ref="R824:S826"/>
    <mergeCell ref="J172:J173"/>
    <mergeCell ref="K172:K173"/>
    <mergeCell ref="L172:L173"/>
    <mergeCell ref="M172:M173"/>
    <mergeCell ref="R172:R173"/>
    <mergeCell ref="S172:S173"/>
    <mergeCell ref="J166:S166"/>
    <mergeCell ref="R215:R217"/>
    <mergeCell ref="J13:J14"/>
    <mergeCell ref="K13:K14"/>
    <mergeCell ref="L13:L14"/>
    <mergeCell ref="M13:M14"/>
    <mergeCell ref="R13:R14"/>
    <mergeCell ref="S13:S14"/>
    <mergeCell ref="J44:J46"/>
    <mergeCell ref="K44:K46"/>
    <mergeCell ref="L44:L46"/>
    <mergeCell ref="M44:M46"/>
    <mergeCell ref="J55:J57"/>
    <mergeCell ref="K55:K57"/>
    <mergeCell ref="L55:L57"/>
    <mergeCell ref="M55:M57"/>
    <mergeCell ref="R55:R57"/>
    <mergeCell ref="S55:S57"/>
    <mergeCell ref="M58:M60"/>
    <mergeCell ref="R58:R60"/>
    <mergeCell ref="S58:S60"/>
    <mergeCell ref="R44:R46"/>
    <mergeCell ref="S44:S46"/>
    <mergeCell ref="S291:S294"/>
    <mergeCell ref="S491:S492"/>
    <mergeCell ref="M104:M105"/>
    <mergeCell ref="R104:R105"/>
    <mergeCell ref="S104:S105"/>
    <mergeCell ref="J108:J109"/>
    <mergeCell ref="K108:K109"/>
    <mergeCell ref="L108:L109"/>
    <mergeCell ref="M108:M109"/>
    <mergeCell ref="R108:R109"/>
    <mergeCell ref="S108:S109"/>
    <mergeCell ref="J132:J134"/>
    <mergeCell ref="K132:K134"/>
    <mergeCell ref="L132:L134"/>
    <mergeCell ref="M132:M134"/>
    <mergeCell ref="S132:S134"/>
    <mergeCell ref="R132:R134"/>
    <mergeCell ref="S141:S142"/>
    <mergeCell ref="J157:J159"/>
    <mergeCell ref="K157:K159"/>
    <mergeCell ref="L157:L159"/>
    <mergeCell ref="M157:M159"/>
    <mergeCell ref="R157:R159"/>
    <mergeCell ref="S157:S159"/>
    <mergeCell ref="M141:M142"/>
    <mergeCell ref="R141:R142"/>
    <mergeCell ref="R135:R136"/>
    <mergeCell ref="S135:S136"/>
    <mergeCell ref="J222:J223"/>
    <mergeCell ref="L236:L239"/>
    <mergeCell ref="M236:M239"/>
    <mergeCell ref="M244:M247"/>
    <mergeCell ref="S256:S257"/>
    <mergeCell ref="R256:R257"/>
    <mergeCell ref="J256:J257"/>
    <mergeCell ref="K256:K257"/>
    <mergeCell ref="L256:L257"/>
    <mergeCell ref="M256:M257"/>
    <mergeCell ref="M685:M687"/>
    <mergeCell ref="R685:R687"/>
    <mergeCell ref="S685:S687"/>
    <mergeCell ref="R688:R690"/>
    <mergeCell ref="S688:S690"/>
    <mergeCell ref="K688:K690"/>
    <mergeCell ref="L688:L690"/>
    <mergeCell ref="M688:M690"/>
    <mergeCell ref="J726:J727"/>
    <mergeCell ref="K726:K727"/>
    <mergeCell ref="L726:L727"/>
    <mergeCell ref="M726:M727"/>
    <mergeCell ref="R726:R727"/>
    <mergeCell ref="S726:S727"/>
    <mergeCell ref="J315:S315"/>
    <mergeCell ref="J483:S483"/>
    <mergeCell ref="J457:S457"/>
    <mergeCell ref="S365:S367"/>
    <mergeCell ref="R365:R367"/>
    <mergeCell ref="M365:M367"/>
    <mergeCell ref="R646:R648"/>
    <mergeCell ref="S646:S648"/>
    <mergeCell ref="M285:M288"/>
    <mergeCell ref="R285:R288"/>
    <mergeCell ref="R571:S571"/>
    <mergeCell ref="J572:S572"/>
    <mergeCell ref="J774:J775"/>
    <mergeCell ref="K774:K775"/>
    <mergeCell ref="L774:L775"/>
    <mergeCell ref="M774:M775"/>
    <mergeCell ref="R774:R775"/>
    <mergeCell ref="S774:S775"/>
    <mergeCell ref="J710:J713"/>
    <mergeCell ref="K710:K713"/>
    <mergeCell ref="S732:S733"/>
    <mergeCell ref="J740:J741"/>
    <mergeCell ref="K740:K741"/>
    <mergeCell ref="L740:L741"/>
    <mergeCell ref="M678:M680"/>
    <mergeCell ref="R678:R680"/>
    <mergeCell ref="S678:S680"/>
    <mergeCell ref="M261:M263"/>
    <mergeCell ref="J264:J267"/>
    <mergeCell ref="K264:K267"/>
    <mergeCell ref="L264:L267"/>
    <mergeCell ref="M264:M267"/>
    <mergeCell ref="J281:J283"/>
    <mergeCell ref="K281:K283"/>
    <mergeCell ref="L281:L283"/>
    <mergeCell ref="M281:M283"/>
    <mergeCell ref="J644:J645"/>
    <mergeCell ref="K644:K645"/>
    <mergeCell ref="L644:L645"/>
    <mergeCell ref="M644:M645"/>
    <mergeCell ref="J646:J648"/>
    <mergeCell ref="K646:K648"/>
    <mergeCell ref="L646:L648"/>
    <mergeCell ref="M646:M648"/>
    <mergeCell ref="R858:R860"/>
    <mergeCell ref="S858:S860"/>
    <mergeCell ref="R792:R793"/>
    <mergeCell ref="S792:S793"/>
    <mergeCell ref="S743:S746"/>
    <mergeCell ref="S682:S683"/>
    <mergeCell ref="R655:R656"/>
    <mergeCell ref="R557:R560"/>
    <mergeCell ref="S557:S560"/>
    <mergeCell ref="J827:S827"/>
    <mergeCell ref="S776:S777"/>
    <mergeCell ref="S778:S779"/>
    <mergeCell ref="S780:S781"/>
    <mergeCell ref="S782:S784"/>
    <mergeCell ref="R782:R784"/>
    <mergeCell ref="R785:R787"/>
    <mergeCell ref="S785:S787"/>
    <mergeCell ref="J840:J842"/>
    <mergeCell ref="K840:K842"/>
    <mergeCell ref="L840:L842"/>
    <mergeCell ref="M840:M842"/>
    <mergeCell ref="R840:R842"/>
    <mergeCell ref="S840:S842"/>
    <mergeCell ref="J685:J687"/>
    <mergeCell ref="J688:J690"/>
    <mergeCell ref="K685:K687"/>
    <mergeCell ref="L685:L687"/>
    <mergeCell ref="R662:R667"/>
    <mergeCell ref="S662:S667"/>
    <mergeCell ref="J678:J680"/>
    <mergeCell ref="K678:K680"/>
    <mergeCell ref="L678:L680"/>
    <mergeCell ref="S258:S260"/>
    <mergeCell ref="R233:R235"/>
    <mergeCell ref="S233:S235"/>
    <mergeCell ref="R230:R232"/>
    <mergeCell ref="S230:S232"/>
    <mergeCell ref="S205:S206"/>
    <mergeCell ref="S198:S200"/>
    <mergeCell ref="S69:S71"/>
    <mergeCell ref="R26:R27"/>
    <mergeCell ref="A104:A105"/>
    <mergeCell ref="B104:B105"/>
    <mergeCell ref="R524:R526"/>
    <mergeCell ref="R515:R523"/>
    <mergeCell ref="S515:S523"/>
    <mergeCell ref="R467:R470"/>
    <mergeCell ref="S467:S470"/>
    <mergeCell ref="S451:S452"/>
    <mergeCell ref="R451:R452"/>
    <mergeCell ref="S438:S441"/>
    <mergeCell ref="S421:S423"/>
    <mergeCell ref="S424:S429"/>
    <mergeCell ref="S414:S417"/>
    <mergeCell ref="S418:S420"/>
    <mergeCell ref="R414:R417"/>
    <mergeCell ref="S411:S413"/>
    <mergeCell ref="S409:S410"/>
    <mergeCell ref="J365:J367"/>
    <mergeCell ref="S381:S384"/>
    <mergeCell ref="R381:R384"/>
    <mergeCell ref="J381:J384"/>
    <mergeCell ref="K365:K367"/>
    <mergeCell ref="L365:L367"/>
  </mergeCells>
  <pageMargins left="0.4" right="0.4" top="0.4" bottom="0.4" header="0.4" footer="0.4"/>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Darbalapiai</vt:lpstr>
      </vt:variant>
      <vt:variant>
        <vt:i4>1</vt:i4>
      </vt:variant>
    </vt:vector>
  </HeadingPairs>
  <TitlesOfParts>
    <vt:vector size="1" baseType="lpstr">
      <vt:lpstr>Planas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Kristina Kečedži</dc:creator>
  <cp:lastModifiedBy>Kristina Kečedži</cp:lastModifiedBy>
  <cp:lastPrinted>2025-04-24T08:10:13Z</cp:lastPrinted>
  <dcterms:created xsi:type="dcterms:W3CDTF">2025-01-30T07:14:40Z</dcterms:created>
  <dcterms:modified xsi:type="dcterms:W3CDTF">2025-06-20T06:55:29Z</dcterms:modified>
</cp:coreProperties>
</file>